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C:\Users\MelissaRogers\Desktop\Pass\Newsletter Assets\"/>
    </mc:Choice>
  </mc:AlternateContent>
  <xr:revisionPtr revIDLastSave="0" documentId="8_{9D11F197-7495-4122-8CE0-B6BCCC11E09C}" xr6:coauthVersionLast="47" xr6:coauthVersionMax="47" xr10:uidLastSave="{00000000-0000-0000-0000-000000000000}"/>
  <bookViews>
    <workbookView xWindow="-108" yWindow="-108" windowWidth="23256" windowHeight="12456" tabRatio="795" firstSheet="3" activeTab="3" xr2:uid="{00000000-000D-0000-FFFF-FFFF00000000}"/>
  </bookViews>
  <sheets>
    <sheet name="MSRP Retail Calculator" sheetId="11" r:id="rId1"/>
    <sheet name="MSRP Retail Calculator_OLD" sheetId="7" state="hidden" r:id="rId2"/>
    <sheet name="NOC Services (ExhibitB)" sheetId="2" r:id="rId3"/>
    <sheet name="NOC+Service Desk (ExhibitB)" sheetId="5" r:id="rId4"/>
    <sheet name="Additional Offerings (ExhibitB)" sheetId="9" r:id="rId5"/>
    <sheet name="Service Provider Input Page" sheetId="4" r:id="rId6"/>
    <sheet name="Change History" sheetId="3" r:id="rId7"/>
    <sheet name="Lookups" sheetId="8" state="hidden" r:id="rId8"/>
    <sheet name="Datto Promos" sheetId="10" state="hidden" r:id="rId9"/>
  </sheets>
  <definedNames>
    <definedName name="_xlnm.Print_Area" localSheetId="4">'Additional Offerings (ExhibitB)'!$A$1:$Q$173</definedName>
    <definedName name="_xlnm.Print_Area" localSheetId="0">'MSRP Retail Calculator'!$A$1:$R$62</definedName>
    <definedName name="_xlnm.Print_Area" localSheetId="1">'MSRP Retail Calculator_OLD'!$A$1:$R$66</definedName>
    <definedName name="_xlnm.Print_Area" localSheetId="2">'NOC Services (ExhibitB)'!$B$1:$Q$190</definedName>
    <definedName name="_xlnm.Print_Area" localSheetId="3">'NOC+Service Desk (ExhibitB)'!$A$1:$Q$337</definedName>
    <definedName name="_xlnm.Print_Titles" localSheetId="4">'Additional Offerings (ExhibitB)'!$1:$12</definedName>
    <definedName name="_xlnm.Print_Titles" localSheetId="2">'NOC Services (ExhibitB)'!$1:$12</definedName>
    <definedName name="_xlnm.Print_Titles" localSheetId="3">'NOC+Service Desk (ExhibitB)'!$1:$12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46" i="9" l="1"/>
  <c r="N292" i="5" l="1"/>
  <c r="N204" i="5"/>
  <c r="O204" i="5"/>
  <c r="M204" i="5"/>
  <c r="B67" i="2"/>
  <c r="N158" i="2"/>
  <c r="P102" i="2"/>
  <c r="P189" i="5"/>
  <c r="P53" i="2"/>
  <c r="P47" i="2"/>
  <c r="P48" i="2"/>
  <c r="P49" i="2"/>
  <c r="P46" i="2"/>
  <c r="P36" i="2"/>
  <c r="P37" i="2"/>
  <c r="P38" i="2"/>
  <c r="P39" i="2"/>
  <c r="P40" i="2"/>
  <c r="P35" i="2"/>
  <c r="P32" i="2"/>
  <c r="P29" i="2"/>
  <c r="P26" i="2"/>
  <c r="P57" i="9"/>
  <c r="P51" i="9"/>
  <c r="P52" i="9"/>
  <c r="P53" i="9"/>
  <c r="P50" i="9"/>
  <c r="P40" i="9"/>
  <c r="P41" i="9"/>
  <c r="P42" i="9"/>
  <c r="P43" i="9"/>
  <c r="P44" i="9"/>
  <c r="P39" i="9"/>
  <c r="P36" i="9"/>
  <c r="P33" i="9"/>
  <c r="P30" i="9"/>
  <c r="B60" i="9"/>
  <c r="M60" i="9" s="1"/>
  <c r="G50" i="9"/>
  <c r="G51" i="9"/>
  <c r="H51" i="9"/>
  <c r="I51" i="9"/>
  <c r="J51" i="9"/>
  <c r="G52" i="9"/>
  <c r="H52" i="9"/>
  <c r="I52" i="9"/>
  <c r="J52" i="9"/>
  <c r="G53" i="9"/>
  <c r="H53" i="9"/>
  <c r="I53" i="9"/>
  <c r="J53" i="9"/>
  <c r="G39" i="9"/>
  <c r="G40" i="9"/>
  <c r="G41" i="9"/>
  <c r="G42" i="9"/>
  <c r="G43" i="9"/>
  <c r="G44" i="9"/>
  <c r="G36" i="9"/>
  <c r="G30" i="9"/>
  <c r="G46" i="2"/>
  <c r="G47" i="2"/>
  <c r="H47" i="2"/>
  <c r="I47" i="2"/>
  <c r="J47" i="2"/>
  <c r="G48" i="2"/>
  <c r="H48" i="2"/>
  <c r="I48" i="2"/>
  <c r="J48" i="2"/>
  <c r="G49" i="2"/>
  <c r="H49" i="2"/>
  <c r="I49" i="2"/>
  <c r="J49" i="2"/>
  <c r="G35" i="2"/>
  <c r="G36" i="2"/>
  <c r="G37" i="2"/>
  <c r="G38" i="2"/>
  <c r="G39" i="2"/>
  <c r="G40" i="2"/>
  <c r="G32" i="2"/>
  <c r="G26" i="2"/>
  <c r="P56" i="5"/>
  <c r="P50" i="5"/>
  <c r="P51" i="5"/>
  <c r="P52" i="5"/>
  <c r="P49" i="5"/>
  <c r="P39" i="5"/>
  <c r="P40" i="5"/>
  <c r="P41" i="5"/>
  <c r="P42" i="5"/>
  <c r="P43" i="5"/>
  <c r="P38" i="5"/>
  <c r="P35" i="5"/>
  <c r="P32" i="5"/>
  <c r="P29" i="5"/>
  <c r="P120" i="2" l="1"/>
  <c r="O120" i="2"/>
  <c r="I52" i="5"/>
  <c r="J52" i="5"/>
  <c r="H52" i="5"/>
  <c r="I51" i="5"/>
  <c r="J51" i="5"/>
  <c r="H51" i="5"/>
  <c r="I50" i="5"/>
  <c r="J50" i="5"/>
  <c r="H50" i="5"/>
  <c r="P210" i="5" l="1"/>
  <c r="P208" i="5"/>
  <c r="P206" i="5"/>
  <c r="P204" i="5" l="1"/>
  <c r="M201" i="5"/>
  <c r="M306" i="5" s="1"/>
  <c r="P202" i="5"/>
  <c r="P201" i="5" s="1"/>
  <c r="P306" i="5" s="1"/>
  <c r="O201" i="5"/>
  <c r="O306" i="5" s="1"/>
  <c r="N201" i="5"/>
  <c r="N306" i="5" s="1"/>
  <c r="O310" i="5"/>
  <c r="N310" i="5"/>
  <c r="B239" i="5"/>
  <c r="M239" i="5" s="1"/>
  <c r="M237" i="5" s="1"/>
  <c r="P238" i="5"/>
  <c r="P237" i="5" s="1"/>
  <c r="P311" i="5" s="1"/>
  <c r="O237" i="5"/>
  <c r="N237" i="5"/>
  <c r="B235" i="5"/>
  <c r="M235" i="5" s="1"/>
  <c r="M233" i="5" s="1"/>
  <c r="P234" i="5"/>
  <c r="P233" i="5" s="1"/>
  <c r="P310" i="5" s="1"/>
  <c r="O233" i="5"/>
  <c r="N233" i="5"/>
  <c r="B230" i="5"/>
  <c r="M230" i="5" s="1"/>
  <c r="M228" i="5" s="1"/>
  <c r="M309" i="5" s="1"/>
  <c r="P229" i="5"/>
  <c r="P228" i="5" s="1"/>
  <c r="P309" i="5" s="1"/>
  <c r="O228" i="5"/>
  <c r="O309" i="5" s="1"/>
  <c r="N228" i="5"/>
  <c r="N309" i="5" s="1"/>
  <c r="P17" i="5" l="1"/>
  <c r="B121" i="9"/>
  <c r="B261" i="5"/>
  <c r="B128" i="2"/>
  <c r="B59" i="5" l="1"/>
  <c r="P83" i="9" l="1"/>
  <c r="P105" i="5"/>
  <c r="P82" i="2"/>
  <c r="P125" i="2" l="1"/>
  <c r="P258" i="5"/>
  <c r="P118" i="9"/>
  <c r="B75" i="9"/>
  <c r="M75" i="9" s="1"/>
  <c r="P74" i="9"/>
  <c r="P73" i="9"/>
  <c r="P72" i="9"/>
  <c r="P71" i="9"/>
  <c r="B96" i="5"/>
  <c r="M96" i="5" s="1"/>
  <c r="P95" i="5"/>
  <c r="P94" i="5"/>
  <c r="P93" i="5"/>
  <c r="P92" i="5"/>
  <c r="B74" i="2"/>
  <c r="P73" i="2"/>
  <c r="P72" i="2"/>
  <c r="P71" i="2"/>
  <c r="P70" i="2"/>
  <c r="M74" i="2" l="1"/>
  <c r="F7" i="4" l="1"/>
  <c r="D6" i="4"/>
  <c r="F6" i="4"/>
  <c r="D7" i="4"/>
  <c r="D8" i="4"/>
  <c r="F8" i="4"/>
  <c r="D9" i="4"/>
  <c r="F9" i="4"/>
  <c r="D10" i="4"/>
  <c r="F10" i="4"/>
  <c r="I8" i="4"/>
  <c r="I9" i="4"/>
  <c r="I10" i="4"/>
  <c r="I6" i="4"/>
  <c r="D16" i="4"/>
  <c r="D17" i="4"/>
  <c r="D15" i="4"/>
  <c r="D20" i="4" l="1"/>
  <c r="I12" i="4"/>
  <c r="F12" i="4"/>
  <c r="D12" i="4"/>
  <c r="D23" i="4" s="1"/>
  <c r="N14" i="9"/>
  <c r="O14" i="9"/>
  <c r="H89" i="5" l="1"/>
  <c r="H67" i="2"/>
  <c r="O88" i="5" l="1"/>
  <c r="P88" i="5"/>
  <c r="F136" i="9" l="1"/>
  <c r="F135" i="9"/>
  <c r="F134" i="9"/>
  <c r="F133" i="9"/>
  <c r="F128" i="9"/>
  <c r="O104" i="9"/>
  <c r="P104" i="9"/>
  <c r="O105" i="9"/>
  <c r="P105" i="9"/>
  <c r="O106" i="9"/>
  <c r="P106" i="9"/>
  <c r="O107" i="9"/>
  <c r="P107" i="9"/>
  <c r="O108" i="9"/>
  <c r="P108" i="9"/>
  <c r="F276" i="5"/>
  <c r="F275" i="5"/>
  <c r="F274" i="5"/>
  <c r="F273" i="5"/>
  <c r="F268" i="5"/>
  <c r="O245" i="5"/>
  <c r="P245" i="5"/>
  <c r="O246" i="5"/>
  <c r="P246" i="5"/>
  <c r="O247" i="5"/>
  <c r="P247" i="5"/>
  <c r="O244" i="5"/>
  <c r="P244" i="5"/>
  <c r="O243" i="5"/>
  <c r="P114" i="2"/>
  <c r="O114" i="2"/>
  <c r="P113" i="2"/>
  <c r="O113" i="2"/>
  <c r="P111" i="2"/>
  <c r="O111" i="2"/>
  <c r="P112" i="2"/>
  <c r="O112" i="2"/>
  <c r="B163" i="2"/>
  <c r="B164" i="2"/>
  <c r="B165" i="2"/>
  <c r="B167" i="2"/>
  <c r="B168" i="2"/>
  <c r="B16" i="2"/>
  <c r="C160" i="9"/>
  <c r="P81" i="9"/>
  <c r="O81" i="9"/>
  <c r="P80" i="9"/>
  <c r="O80" i="9"/>
  <c r="P80" i="2"/>
  <c r="O80" i="2"/>
  <c r="P79" i="2"/>
  <c r="O79" i="2"/>
  <c r="P101" i="5"/>
  <c r="O101" i="5"/>
  <c r="P100" i="5"/>
  <c r="O100" i="5"/>
  <c r="B19" i="5"/>
  <c r="C37" i="11" l="1"/>
  <c r="A80" i="11" l="1"/>
  <c r="A79" i="11"/>
  <c r="F70" i="11"/>
  <c r="F109" i="11"/>
  <c r="A119" i="11" l="1"/>
  <c r="A118" i="11"/>
  <c r="O37" i="11"/>
  <c r="Q37" i="11" s="1"/>
  <c r="K37" i="11"/>
  <c r="M37" i="11" s="1"/>
  <c r="G37" i="11"/>
  <c r="I37" i="11" s="1"/>
  <c r="E37" i="11"/>
  <c r="G29" i="5" l="1"/>
  <c r="P184" i="5" l="1"/>
  <c r="P183" i="5"/>
  <c r="P148" i="5"/>
  <c r="P147" i="5"/>
  <c r="P146" i="5"/>
  <c r="P145" i="5"/>
  <c r="P144" i="5"/>
  <c r="P143" i="5"/>
  <c r="P142" i="5"/>
  <c r="B297" i="5"/>
  <c r="B299" i="5"/>
  <c r="N75" i="5"/>
  <c r="O75" i="5"/>
  <c r="M75" i="5"/>
  <c r="N66" i="5"/>
  <c r="N299" i="5" s="1"/>
  <c r="O66" i="5"/>
  <c r="O299" i="5" s="1"/>
  <c r="P23" i="9" l="1"/>
  <c r="P17" i="9"/>
  <c r="P16" i="9"/>
  <c r="P14" i="9" l="1"/>
  <c r="G52" i="5"/>
  <c r="G51" i="5"/>
  <c r="G50" i="5"/>
  <c r="G49" i="5"/>
  <c r="G43" i="5"/>
  <c r="G42" i="5"/>
  <c r="G41" i="5"/>
  <c r="G40" i="5"/>
  <c r="G39" i="5"/>
  <c r="G38" i="5"/>
  <c r="G35" i="5"/>
  <c r="H27" i="10" l="1"/>
  <c r="F27" i="10"/>
  <c r="H26" i="10"/>
  <c r="F26" i="10"/>
  <c r="H25" i="10"/>
  <c r="F25" i="10"/>
  <c r="H24" i="10"/>
  <c r="F24" i="10"/>
  <c r="H4" i="10"/>
  <c r="F4" i="10"/>
  <c r="D28" i="8" l="1"/>
  <c r="D26" i="8"/>
  <c r="C174" i="2" s="1"/>
  <c r="E26" i="8"/>
  <c r="C175" i="2" s="1"/>
  <c r="E28" i="8"/>
  <c r="C161" i="9" l="1"/>
  <c r="C162" i="9"/>
  <c r="O23" i="2"/>
  <c r="O163" i="2" s="1"/>
  <c r="M23" i="2"/>
  <c r="M163" i="2" s="1"/>
  <c r="N23" i="2" l="1"/>
  <c r="N163" i="2" s="1"/>
  <c r="P23" i="2"/>
  <c r="P163" i="2" s="1"/>
  <c r="O213" i="5"/>
  <c r="O307" i="5" s="1"/>
  <c r="N213" i="5"/>
  <c r="N307" i="5" s="1"/>
  <c r="M226" i="5"/>
  <c r="D226" i="5"/>
  <c r="D225" i="5"/>
  <c r="D224" i="5"/>
  <c r="D223" i="5"/>
  <c r="P219" i="5"/>
  <c r="P218" i="5"/>
  <c r="B224" i="5"/>
  <c r="M224" i="5" s="1"/>
  <c r="B223" i="5"/>
  <c r="M223" i="5" s="1"/>
  <c r="P214" i="5"/>
  <c r="O311" i="5" l="1"/>
  <c r="N311" i="5"/>
  <c r="E27" i="8"/>
  <c r="D27" i="8"/>
  <c r="C318" i="5" s="1"/>
  <c r="P216" i="5"/>
  <c r="P217" i="5"/>
  <c r="B225" i="5"/>
  <c r="M225" i="5" s="1"/>
  <c r="M213" i="5" s="1"/>
  <c r="M307" i="5" s="1"/>
  <c r="M311" i="5" l="1"/>
  <c r="C319" i="5"/>
  <c r="P213" i="5"/>
  <c r="P307" i="5" s="1"/>
  <c r="P16" i="5"/>
  <c r="O122" i="5" l="1"/>
  <c r="C326" i="5" l="1"/>
  <c r="C325" i="5"/>
  <c r="C324" i="5"/>
  <c r="N241" i="5" l="1"/>
  <c r="O130" i="5"/>
  <c r="N130" i="5"/>
  <c r="N108" i="2"/>
  <c r="N168" i="2" s="1"/>
  <c r="O94" i="9" l="1"/>
  <c r="O93" i="9"/>
  <c r="O116" i="9" l="1"/>
  <c r="O115" i="9"/>
  <c r="O114" i="9"/>
  <c r="O113" i="9"/>
  <c r="O111" i="9"/>
  <c r="O110" i="9"/>
  <c r="O109" i="9"/>
  <c r="O103" i="9"/>
  <c r="B18" i="9" l="1"/>
  <c r="O300" i="5" l="1"/>
  <c r="O296" i="5"/>
  <c r="O295" i="5"/>
  <c r="E103" i="8" s="1"/>
  <c r="K17" i="7"/>
  <c r="M17" i="7" s="1"/>
  <c r="O86" i="9" l="1"/>
  <c r="O85" i="9"/>
  <c r="O79" i="9"/>
  <c r="O78" i="9"/>
  <c r="O77" i="9"/>
  <c r="O67" i="9"/>
  <c r="O66" i="9"/>
  <c r="O65" i="9"/>
  <c r="O64" i="9"/>
  <c r="O256" i="5"/>
  <c r="O255" i="5"/>
  <c r="O254" i="5"/>
  <c r="O253" i="5"/>
  <c r="O251" i="5"/>
  <c r="O250" i="5"/>
  <c r="O249" i="5"/>
  <c r="O248" i="5"/>
  <c r="O116" i="5"/>
  <c r="O115" i="5"/>
  <c r="O108" i="5"/>
  <c r="O107" i="5"/>
  <c r="O102" i="5"/>
  <c r="O99" i="5"/>
  <c r="O98" i="5"/>
  <c r="O87" i="5"/>
  <c r="O86" i="5"/>
  <c r="O85" i="5"/>
  <c r="O84" i="5" l="1"/>
  <c r="O292" i="5" s="1"/>
  <c r="O241" i="5"/>
  <c r="O312" i="5" s="1"/>
  <c r="E123" i="8" s="1"/>
  <c r="O149" i="9"/>
  <c r="E104" i="8" s="1"/>
  <c r="O140" i="9"/>
  <c r="O155" i="9" s="1"/>
  <c r="E124" i="8" s="1"/>
  <c r="O101" i="9"/>
  <c r="O154" i="9" s="1"/>
  <c r="O91" i="9"/>
  <c r="O153" i="9" s="1"/>
  <c r="O63" i="9"/>
  <c r="O152" i="9" s="1"/>
  <c r="O27" i="9"/>
  <c r="O151" i="9" s="1"/>
  <c r="O22" i="9"/>
  <c r="O150" i="9" s="1"/>
  <c r="O286" i="5"/>
  <c r="O313" i="5" s="1"/>
  <c r="O308" i="5"/>
  <c r="O176" i="5"/>
  <c r="O305" i="5" s="1"/>
  <c r="O304" i="5"/>
  <c r="O303" i="5"/>
  <c r="O113" i="5"/>
  <c r="O302" i="5" s="1"/>
  <c r="O61" i="5"/>
  <c r="O298" i="5" s="1"/>
  <c r="O26" i="5"/>
  <c r="O297" i="5" s="1"/>
  <c r="O13" i="5"/>
  <c r="E108" i="8" l="1"/>
  <c r="E109" i="8"/>
  <c r="E118" i="8"/>
  <c r="M23" i="11" s="1"/>
  <c r="M26" i="11" s="1"/>
  <c r="E114" i="8"/>
  <c r="O301" i="5"/>
  <c r="O146" i="9"/>
  <c r="O156" i="9"/>
  <c r="E6" i="8" s="1"/>
  <c r="O162" i="2"/>
  <c r="O161" i="2"/>
  <c r="O152" i="2"/>
  <c r="O169" i="2" s="1"/>
  <c r="O100" i="2"/>
  <c r="O167" i="2" s="1"/>
  <c r="O55" i="2"/>
  <c r="O13" i="2"/>
  <c r="O123" i="2"/>
  <c r="O122" i="2"/>
  <c r="O121" i="2"/>
  <c r="O118" i="2"/>
  <c r="O117" i="2"/>
  <c r="O116" i="2"/>
  <c r="O115" i="2"/>
  <c r="O110" i="2"/>
  <c r="O93" i="2"/>
  <c r="O92" i="2"/>
  <c r="O85" i="2"/>
  <c r="O84" i="2"/>
  <c r="O78" i="2"/>
  <c r="O77" i="2"/>
  <c r="O76" i="2"/>
  <c r="O66" i="2"/>
  <c r="O65" i="2"/>
  <c r="O64" i="2"/>
  <c r="O63" i="2"/>
  <c r="O164" i="2" l="1"/>
  <c r="E107" i="8" s="1"/>
  <c r="M13" i="11" s="1"/>
  <c r="M16" i="11" s="1"/>
  <c r="E102" i="8"/>
  <c r="M8" i="11" s="1"/>
  <c r="M11" i="11" s="1"/>
  <c r="O314" i="5"/>
  <c r="E5" i="8" s="1"/>
  <c r="E113" i="8"/>
  <c r="O108" i="2"/>
  <c r="O62" i="2"/>
  <c r="O90" i="2"/>
  <c r="O166" i="2" s="1"/>
  <c r="P110" i="2"/>
  <c r="P115" i="2"/>
  <c r="P116" i="2"/>
  <c r="P117" i="2"/>
  <c r="P118" i="2"/>
  <c r="P121" i="2"/>
  <c r="P122" i="2"/>
  <c r="P123" i="2"/>
  <c r="M128" i="2"/>
  <c r="M108" i="2" s="1"/>
  <c r="M168" i="2" s="1"/>
  <c r="F135" i="2"/>
  <c r="F140" i="2"/>
  <c r="F141" i="2"/>
  <c r="F142" i="2"/>
  <c r="O165" i="2" l="1"/>
  <c r="O158" i="2"/>
  <c r="O168" i="2"/>
  <c r="E122" i="8" s="1"/>
  <c r="M28" i="11" s="1"/>
  <c r="M31" i="11" s="1"/>
  <c r="P108" i="2"/>
  <c r="P168" i="2" s="1"/>
  <c r="O170" i="2" l="1"/>
  <c r="E4" i="8" s="1"/>
  <c r="M8" i="7" s="1"/>
  <c r="M11" i="7" s="1"/>
  <c r="M40" i="7" s="1"/>
  <c r="E51" i="7" s="1"/>
  <c r="E112" i="8"/>
  <c r="M18" i="11" s="1"/>
  <c r="M21" i="11" s="1"/>
  <c r="M60" i="11" s="1"/>
  <c r="E71" i="11" l="1"/>
  <c r="E110" i="11"/>
  <c r="P18" i="5" l="1"/>
  <c r="P63" i="2" l="1"/>
  <c r="P64" i="2"/>
  <c r="P64" i="9"/>
  <c r="F3" i="10" l="1"/>
  <c r="H3" i="10"/>
  <c r="F5" i="10"/>
  <c r="H5" i="10"/>
  <c r="F10" i="10"/>
  <c r="H10" i="10"/>
  <c r="F11" i="10"/>
  <c r="H11" i="10"/>
  <c r="F12" i="10"/>
  <c r="H12" i="10"/>
  <c r="F13" i="10"/>
  <c r="H13" i="10"/>
  <c r="F14" i="10"/>
  <c r="H14" i="10"/>
  <c r="F15" i="10"/>
  <c r="H15" i="10"/>
  <c r="F16" i="10"/>
  <c r="H16" i="10"/>
  <c r="F17" i="10"/>
  <c r="H17" i="10"/>
  <c r="F18" i="10"/>
  <c r="H18" i="10"/>
  <c r="F19" i="10"/>
  <c r="H19" i="10"/>
  <c r="F20" i="10"/>
  <c r="H20" i="10"/>
  <c r="F21" i="10"/>
  <c r="H21" i="10"/>
  <c r="F22" i="10"/>
  <c r="H22" i="10"/>
  <c r="F23" i="10"/>
  <c r="H23" i="10"/>
  <c r="P85" i="5" l="1"/>
  <c r="G5" i="8" l="1"/>
  <c r="N90" i="2" l="1"/>
  <c r="N166" i="2" s="1"/>
  <c r="M18" i="9" l="1"/>
  <c r="M14" i="9" s="1"/>
  <c r="N101" i="9" l="1"/>
  <c r="N91" i="9"/>
  <c r="B149" i="9" l="1"/>
  <c r="N22" i="9"/>
  <c r="M22" i="9"/>
  <c r="B312" i="5" l="1"/>
  <c r="B154" i="9"/>
  <c r="B151" i="9"/>
  <c r="B150" i="9"/>
  <c r="F143" i="2" l="1"/>
  <c r="G10" i="9" l="1"/>
  <c r="G10" i="5"/>
  <c r="G6" i="8" l="1"/>
  <c r="N154" i="9"/>
  <c r="P103" i="9"/>
  <c r="P109" i="9"/>
  <c r="P110" i="9"/>
  <c r="P111" i="9"/>
  <c r="P113" i="9"/>
  <c r="P114" i="9"/>
  <c r="P115" i="9"/>
  <c r="P116" i="9"/>
  <c r="M121" i="9"/>
  <c r="A60" i="7"/>
  <c r="A59" i="7"/>
  <c r="B155" i="9"/>
  <c r="B153" i="9"/>
  <c r="B152" i="9"/>
  <c r="N149" i="9"/>
  <c r="D104" i="8" s="1"/>
  <c r="N143" i="9"/>
  <c r="M142" i="9"/>
  <c r="P141" i="9"/>
  <c r="M97" i="9"/>
  <c r="M96" i="9"/>
  <c r="M95" i="9"/>
  <c r="P94" i="9"/>
  <c r="P93" i="9"/>
  <c r="P92" i="9"/>
  <c r="N153" i="9"/>
  <c r="N86" i="9"/>
  <c r="N85" i="9"/>
  <c r="P79" i="9"/>
  <c r="P78" i="9"/>
  <c r="P77" i="9"/>
  <c r="B68" i="9"/>
  <c r="M68" i="9" s="1"/>
  <c r="M63" i="9" s="1"/>
  <c r="M152" i="9" s="1"/>
  <c r="P67" i="9"/>
  <c r="P66" i="9"/>
  <c r="P65" i="9"/>
  <c r="P22" i="9"/>
  <c r="M91" i="9" l="1"/>
  <c r="M153" i="9" s="1"/>
  <c r="M27" i="9"/>
  <c r="M101" i="9"/>
  <c r="M154" i="9" s="1"/>
  <c r="P101" i="9"/>
  <c r="P154" i="9" s="1"/>
  <c r="C164" i="9" s="1"/>
  <c r="P149" i="9"/>
  <c r="F104" i="8" s="1"/>
  <c r="P140" i="9"/>
  <c r="P155" i="9" s="1"/>
  <c r="F124" i="8" s="1"/>
  <c r="P91" i="9"/>
  <c r="P153" i="9" s="1"/>
  <c r="N140" i="9"/>
  <c r="N155" i="9" s="1"/>
  <c r="D124" i="8" s="1"/>
  <c r="M149" i="9"/>
  <c r="C104" i="8" s="1"/>
  <c r="P27" i="9"/>
  <c r="P151" i="9" s="1"/>
  <c r="J3" i="9" s="1"/>
  <c r="M150" i="9"/>
  <c r="P63" i="9"/>
  <c r="P152" i="9" s="1"/>
  <c r="N63" i="9"/>
  <c r="N152" i="9" s="1"/>
  <c r="D114" i="8" s="1"/>
  <c r="M151" i="9" l="1"/>
  <c r="C109" i="8" s="1"/>
  <c r="C114" i="8"/>
  <c r="F114" i="8"/>
  <c r="N27" i="9"/>
  <c r="N151" i="9" s="1"/>
  <c r="P150" i="9"/>
  <c r="N150" i="9"/>
  <c r="G4" i="8"/>
  <c r="F50" i="7"/>
  <c r="O17" i="7"/>
  <c r="Q17" i="7" s="1"/>
  <c r="G17" i="7"/>
  <c r="I17" i="7" s="1"/>
  <c r="C17" i="7"/>
  <c r="E17" i="7" s="1"/>
  <c r="E59" i="7" l="1"/>
  <c r="E79" i="11"/>
  <c r="E118" i="11"/>
  <c r="D109" i="8"/>
  <c r="F109" i="8"/>
  <c r="N156" i="9"/>
  <c r="D6" i="8" s="1"/>
  <c r="P156" i="9" l="1"/>
  <c r="P157" i="9" s="1"/>
  <c r="P158" i="9" s="1"/>
  <c r="N108" i="5"/>
  <c r="N85" i="2"/>
  <c r="C13" i="8" l="1"/>
  <c r="F6" i="8"/>
  <c r="P78" i="2"/>
  <c r="P77" i="2"/>
  <c r="P102" i="5"/>
  <c r="P99" i="5"/>
  <c r="P255" i="5" l="1"/>
  <c r="B125" i="5" l="1"/>
  <c r="N125" i="5" l="1"/>
  <c r="N124" i="5"/>
  <c r="N122" i="5" l="1"/>
  <c r="N100" i="2"/>
  <c r="N167" i="2" s="1"/>
  <c r="N13" i="2"/>
  <c r="N176" i="5"/>
  <c r="N113" i="5"/>
  <c r="N61" i="5"/>
  <c r="M61" i="5"/>
  <c r="N13" i="5"/>
  <c r="N305" i="5" l="1"/>
  <c r="B103" i="2"/>
  <c r="B58" i="2"/>
  <c r="G10" i="2" l="1"/>
  <c r="N161" i="2" l="1"/>
  <c r="N295" i="5"/>
  <c r="B72" i="5" l="1"/>
  <c r="M58" i="2" l="1"/>
  <c r="M55" i="2" s="1"/>
  <c r="M164" i="2" s="1"/>
  <c r="P15" i="2"/>
  <c r="N312" i="5"/>
  <c r="D123" i="8" s="1"/>
  <c r="B89" i="5" l="1"/>
  <c r="B162" i="2" l="1"/>
  <c r="B161" i="2"/>
  <c r="B301" i="5"/>
  <c r="B296" i="5"/>
  <c r="B295" i="5"/>
  <c r="B313" i="5" l="1"/>
  <c r="B305" i="5"/>
  <c r="B302" i="5"/>
  <c r="B308" i="5"/>
  <c r="N300" i="5"/>
  <c r="M300" i="5"/>
  <c r="B300" i="5"/>
  <c r="N296" i="5"/>
  <c r="D103" i="8" s="1"/>
  <c r="M296" i="5"/>
  <c r="N289" i="5"/>
  <c r="M288" i="5"/>
  <c r="P287" i="5"/>
  <c r="P179" i="5"/>
  <c r="P178" i="5"/>
  <c r="B190" i="5"/>
  <c r="M190" i="5" s="1"/>
  <c r="G189" i="5"/>
  <c r="M261" i="5"/>
  <c r="M241" i="5" s="1"/>
  <c r="P256" i="5"/>
  <c r="P254" i="5"/>
  <c r="P253" i="5"/>
  <c r="P251" i="5"/>
  <c r="P250" i="5"/>
  <c r="P249" i="5"/>
  <c r="P248" i="5"/>
  <c r="P243" i="5"/>
  <c r="M119" i="5"/>
  <c r="M118" i="5"/>
  <c r="M117" i="5"/>
  <c r="P116" i="5"/>
  <c r="P115" i="5"/>
  <c r="P114" i="5"/>
  <c r="N302" i="5"/>
  <c r="B126" i="5"/>
  <c r="M126" i="5" s="1"/>
  <c r="M122" i="5" s="1"/>
  <c r="P123" i="5"/>
  <c r="P122" i="5" s="1"/>
  <c r="N303" i="5"/>
  <c r="B197" i="5"/>
  <c r="M197" i="5" s="1"/>
  <c r="M310" i="5" s="1"/>
  <c r="P196" i="5"/>
  <c r="M308" i="5"/>
  <c r="N308" i="5"/>
  <c r="M89" i="5"/>
  <c r="M84" i="5" s="1"/>
  <c r="M59" i="5"/>
  <c r="M26" i="5" s="1"/>
  <c r="M297" i="5" s="1"/>
  <c r="M19" i="5"/>
  <c r="M13" i="5" s="1"/>
  <c r="M153" i="5"/>
  <c r="M130" i="5" s="1"/>
  <c r="P138" i="5"/>
  <c r="P137" i="5"/>
  <c r="P136" i="5"/>
  <c r="P135" i="5"/>
  <c r="P134" i="5"/>
  <c r="P133" i="5"/>
  <c r="P132" i="5"/>
  <c r="N304" i="5"/>
  <c r="D118" i="8" s="1"/>
  <c r="I23" i="11" s="1"/>
  <c r="I26" i="11" s="1"/>
  <c r="N107" i="5"/>
  <c r="N84" i="5" s="1"/>
  <c r="P98" i="5"/>
  <c r="P87" i="5"/>
  <c r="P86" i="5"/>
  <c r="P77" i="5"/>
  <c r="P75" i="5" s="1"/>
  <c r="P71" i="5"/>
  <c r="P68" i="5"/>
  <c r="P63" i="5"/>
  <c r="N298" i="5"/>
  <c r="M298" i="5"/>
  <c r="P23" i="5"/>
  <c r="M292" i="5" l="1"/>
  <c r="P66" i="5"/>
  <c r="P299" i="5" s="1"/>
  <c r="P300" i="5"/>
  <c r="P130" i="5"/>
  <c r="P304" i="5" s="1"/>
  <c r="P241" i="5"/>
  <c r="P312" i="5" s="1"/>
  <c r="P84" i="5"/>
  <c r="P301" i="5" s="1"/>
  <c r="N286" i="5"/>
  <c r="N313" i="5" s="1"/>
  <c r="P286" i="5"/>
  <c r="P313" i="5" s="1"/>
  <c r="M286" i="5"/>
  <c r="M313" i="5" s="1"/>
  <c r="M176" i="5"/>
  <c r="M305" i="5" s="1"/>
  <c r="M303" i="5"/>
  <c r="P13" i="5"/>
  <c r="M312" i="5"/>
  <c r="C123" i="8" s="1"/>
  <c r="P176" i="5"/>
  <c r="P305" i="5" s="1"/>
  <c r="M304" i="5"/>
  <c r="M301" i="5"/>
  <c r="P113" i="5"/>
  <c r="P302" i="5" s="1"/>
  <c r="M113" i="5"/>
  <c r="M302" i="5" s="1"/>
  <c r="P26" i="5"/>
  <c r="P297" i="5" s="1"/>
  <c r="P61" i="5"/>
  <c r="P298" i="5" s="1"/>
  <c r="N301" i="5"/>
  <c r="D113" i="8" s="1"/>
  <c r="P303" i="5"/>
  <c r="P295" i="5"/>
  <c r="M295" i="5"/>
  <c r="C103" i="8" s="1"/>
  <c r="P296" i="5"/>
  <c r="P292" i="5" l="1"/>
  <c r="C321" i="5"/>
  <c r="F123" i="8"/>
  <c r="C113" i="8"/>
  <c r="F108" i="8"/>
  <c r="C118" i="8"/>
  <c r="E23" i="11" s="1"/>
  <c r="E26" i="11" s="1"/>
  <c r="F118" i="8"/>
  <c r="Q23" i="11" s="1"/>
  <c r="Q26" i="11" s="1"/>
  <c r="F113" i="8"/>
  <c r="F103" i="8"/>
  <c r="P308" i="5"/>
  <c r="N55" i="2"/>
  <c r="C107" i="8"/>
  <c r="N164" i="2" l="1"/>
  <c r="D107" i="8" s="1"/>
  <c r="P314" i="5" l="1"/>
  <c r="P100" i="2"/>
  <c r="P167" i="2" s="1"/>
  <c r="C12" i="8" l="1"/>
  <c r="P315" i="5"/>
  <c r="P316" i="5" s="1"/>
  <c r="J1" i="2" l="1"/>
  <c r="J2" i="2" s="1"/>
  <c r="F5" i="8"/>
  <c r="G102" i="2"/>
  <c r="M103" i="2" l="1"/>
  <c r="M100" i="2" s="1"/>
  <c r="M167" i="2" s="1"/>
  <c r="P66" i="2" l="1"/>
  <c r="P57" i="2" l="1"/>
  <c r="N155" i="2" l="1"/>
  <c r="N152" i="2" s="1"/>
  <c r="P153" i="2" l="1"/>
  <c r="P152" i="2" s="1"/>
  <c r="P161" i="2" l="1"/>
  <c r="P76" i="2" l="1"/>
  <c r="B169" i="2" l="1"/>
  <c r="N162" i="2"/>
  <c r="D102" i="8" s="1"/>
  <c r="I8" i="11" s="1"/>
  <c r="I11" i="11" s="1"/>
  <c r="M162" i="2"/>
  <c r="M154" i="2"/>
  <c r="M152" i="2" s="1"/>
  <c r="P169" i="2"/>
  <c r="N169" i="2"/>
  <c r="M96" i="2"/>
  <c r="M95" i="2"/>
  <c r="M94" i="2"/>
  <c r="P93" i="2"/>
  <c r="P92" i="2"/>
  <c r="P91" i="2"/>
  <c r="M67" i="2"/>
  <c r="M62" i="2" s="1"/>
  <c r="M165" i="2" s="1"/>
  <c r="M16" i="2"/>
  <c r="M13" i="2" s="1"/>
  <c r="N84" i="2"/>
  <c r="N62" i="2" s="1"/>
  <c r="P65" i="2"/>
  <c r="P55" i="2"/>
  <c r="P19" i="2"/>
  <c r="P13" i="2" s="1"/>
  <c r="M158" i="2" l="1"/>
  <c r="N165" i="2"/>
  <c r="P164" i="2"/>
  <c r="F107" i="8" s="1"/>
  <c r="Q13" i="11" s="1"/>
  <c r="Q16" i="11" s="1"/>
  <c r="P62" i="2"/>
  <c r="P165" i="2" s="1"/>
  <c r="M90" i="2"/>
  <c r="M166" i="2" s="1"/>
  <c r="P90" i="2"/>
  <c r="P166" i="2" s="1"/>
  <c r="M161" i="2"/>
  <c r="C102" i="8" s="1"/>
  <c r="E8" i="11" s="1"/>
  <c r="E11" i="11" s="1"/>
  <c r="M169" i="2"/>
  <c r="P162" i="2"/>
  <c r="F102" i="8" s="1"/>
  <c r="Q8" i="11" s="1"/>
  <c r="Q11" i="11" s="1"/>
  <c r="P158" i="2" l="1"/>
  <c r="C177" i="2"/>
  <c r="C112" i="8" l="1"/>
  <c r="E18" i="11" s="1"/>
  <c r="E21" i="11" s="1"/>
  <c r="D122" i="8"/>
  <c r="I28" i="11" s="1"/>
  <c r="I31" i="11" s="1"/>
  <c r="F122" i="8"/>
  <c r="Q28" i="11" s="1"/>
  <c r="Q31" i="11" s="1"/>
  <c r="N170" i="2" l="1"/>
  <c r="D4" i="8" s="1"/>
  <c r="D112" i="8"/>
  <c r="I18" i="11" s="1"/>
  <c r="I21" i="11" s="1"/>
  <c r="F112" i="8"/>
  <c r="Q18" i="11" s="1"/>
  <c r="Q21" i="11" s="1"/>
  <c r="Q60" i="11" s="1"/>
  <c r="E114" i="11" l="1"/>
  <c r="E75" i="11"/>
  <c r="P170" i="2" l="1"/>
  <c r="C11" i="8" l="1"/>
  <c r="P171" i="2"/>
  <c r="C122" i="8"/>
  <c r="M72" i="5"/>
  <c r="M66" i="5" s="1"/>
  <c r="M299" i="5" l="1"/>
  <c r="C108" i="8" s="1"/>
  <c r="E13" i="11" s="1"/>
  <c r="E16" i="11" s="1"/>
  <c r="M170" i="2"/>
  <c r="C4" i="8" s="1"/>
  <c r="P172" i="2"/>
  <c r="F4" i="8"/>
  <c r="Q8" i="7" s="1"/>
  <c r="Q11" i="7" s="1"/>
  <c r="Q40" i="7" s="1"/>
  <c r="E55" i="7" s="1"/>
  <c r="J1" i="9"/>
  <c r="J2" i="9" s="1"/>
  <c r="C14" i="8"/>
  <c r="J1" i="5"/>
  <c r="J2" i="5" s="1"/>
  <c r="A1" i="7" l="1"/>
  <c r="A1" i="11"/>
  <c r="M314" i="5"/>
  <c r="C5" i="8" s="1"/>
  <c r="M140" i="9" l="1"/>
  <c r="N146" i="9"/>
  <c r="P146" i="9"/>
  <c r="M155" i="9" l="1"/>
  <c r="M156" i="9" s="1"/>
  <c r="C6" i="8" s="1"/>
  <c r="E8" i="7" s="1"/>
  <c r="E11" i="7" s="1"/>
  <c r="E40" i="7" s="1"/>
  <c r="E49" i="7" s="1"/>
  <c r="C124" i="8"/>
  <c r="E28" i="11" s="1"/>
  <c r="E31" i="11" s="1"/>
  <c r="E60" i="11" s="1"/>
  <c r="E69" i="11" l="1"/>
  <c r="E108" i="11"/>
  <c r="N26" i="5" l="1"/>
  <c r="N297" i="5" l="1"/>
  <c r="N314" i="5" l="1"/>
  <c r="D5" i="8" s="1"/>
  <c r="I8" i="7" s="1"/>
  <c r="I11" i="7" s="1"/>
  <c r="I40" i="7" s="1"/>
  <c r="E50" i="7" s="1"/>
  <c r="E52" i="7" s="1"/>
  <c r="D108" i="8"/>
  <c r="I13" i="11" s="1"/>
  <c r="I16" i="11" s="1"/>
  <c r="I60" i="11" s="1"/>
  <c r="E70" i="11" l="1"/>
  <c r="E72" i="11" s="1"/>
  <c r="E109" i="11"/>
  <c r="E111" i="11" s="1"/>
  <c r="F76" i="11"/>
  <c r="I64" i="11"/>
  <c r="F115" i="11"/>
  <c r="I44" i="7"/>
  <c r="F51" i="7" s="1"/>
  <c r="F56" i="7"/>
  <c r="E115" i="11" l="1"/>
  <c r="E116" i="11" s="1"/>
  <c r="E76" i="11"/>
  <c r="E77" i="11" s="1"/>
  <c r="F71" i="11"/>
  <c r="F110" i="11"/>
  <c r="E56" i="7"/>
  <c r="E57" i="7" s="1"/>
  <c r="E60" i="7" s="1"/>
  <c r="E119" i="11" l="1"/>
  <c r="E121" i="11"/>
  <c r="E82" i="11"/>
  <c r="E80" i="11"/>
  <c r="E83" i="11"/>
  <c r="E88" i="11"/>
  <c r="E122" i="11"/>
  <c r="E63" i="7"/>
  <c r="E62"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awiese</author>
  </authors>
  <commentList>
    <comment ref="B79" authorId="0" shapeId="0" xr:uid="{0A19EFE3-0A81-4765-9065-30099AEAF136}">
      <text>
        <r>
          <rPr>
            <b/>
            <sz val="9"/>
            <color indexed="81"/>
            <rFont val="Tahoma"/>
            <family val="2"/>
          </rPr>
          <t>awiese:</t>
        </r>
        <r>
          <rPr>
            <sz val="9"/>
            <color indexed="81"/>
            <rFont val="Tahoma"/>
            <family val="2"/>
          </rPr>
          <t xml:space="preserve">
=IF(B19="Select Environment Type","*Please select the environment type (AD, AAD, or Workgroup) in the dropdown to the left","")</t>
        </r>
      </text>
    </comment>
  </commentList>
</comments>
</file>

<file path=xl/sharedStrings.xml><?xml version="1.0" encoding="utf-8"?>
<sst xmlns="http://schemas.openxmlformats.org/spreadsheetml/2006/main" count="2143" uniqueCount="848">
  <si>
    <t>Service Provider MSRP Calculator</t>
  </si>
  <si>
    <t>Select Offering from Dropdown (based on corresponding Exhibit B tab)</t>
  </si>
  <si>
    <t>Cost of Goods</t>
  </si>
  <si>
    <t>Set-up Costs</t>
  </si>
  <si>
    <t>Product Costs</t>
  </si>
  <si>
    <t>S&amp;H Costs</t>
  </si>
  <si>
    <t>Recurring Costs</t>
  </si>
  <si>
    <r>
      <t>Support Services</t>
    </r>
    <r>
      <rPr>
        <b/>
        <sz val="9"/>
        <color theme="1"/>
        <rFont val="Calibri"/>
        <family val="2"/>
        <scheme val="minor"/>
      </rPr>
      <t xml:space="preserve"> (net of applicable discounts)</t>
    </r>
  </si>
  <si>
    <t>Other Costs/Products</t>
  </si>
  <si>
    <t>SP Required Gross Margin</t>
  </si>
  <si>
    <t>Collabrance Cost of Goods with Margin</t>
  </si>
  <si>
    <r>
      <t xml:space="preserve">Backup </t>
    </r>
    <r>
      <rPr>
        <b/>
        <sz val="9"/>
        <color theme="1"/>
        <rFont val="Calibri"/>
        <family val="2"/>
        <scheme val="minor"/>
      </rPr>
      <t>(net of applicable discounts)</t>
    </r>
  </si>
  <si>
    <r>
      <t xml:space="preserve">UTM </t>
    </r>
    <r>
      <rPr>
        <b/>
        <sz val="9"/>
        <color theme="1"/>
        <rFont val="Calibri"/>
        <family val="2"/>
        <scheme val="minor"/>
      </rPr>
      <t>(net of applicable discounts)</t>
    </r>
  </si>
  <si>
    <r>
      <t xml:space="preserve">Email </t>
    </r>
    <r>
      <rPr>
        <b/>
        <sz val="9"/>
        <color theme="1"/>
        <rFont val="Calibri"/>
        <family val="2"/>
        <scheme val="minor"/>
      </rPr>
      <t>(net of applicable discounts)</t>
    </r>
  </si>
  <si>
    <r>
      <t xml:space="preserve">Additional Offerings </t>
    </r>
    <r>
      <rPr>
        <b/>
        <sz val="9"/>
        <color theme="1"/>
        <rFont val="Calibri"/>
        <family val="2"/>
        <scheme val="minor"/>
      </rPr>
      <t>(net of applicable discounts)</t>
    </r>
  </si>
  <si>
    <t>Service Provider Adds @ Market Rates</t>
  </si>
  <si>
    <t>Labor Costs</t>
  </si>
  <si>
    <t>Time spent per Subscriber (hours)</t>
  </si>
  <si>
    <t>Market  Hourly Rate</t>
  </si>
  <si>
    <t>Other Costs</t>
  </si>
  <si>
    <t>Other 1</t>
  </si>
  <si>
    <t>Other 2</t>
  </si>
  <si>
    <t>Other 3</t>
  </si>
  <si>
    <t>Other 4</t>
  </si>
  <si>
    <t>Other 5</t>
  </si>
  <si>
    <t>Other 6</t>
  </si>
  <si>
    <t>Other 7</t>
  </si>
  <si>
    <t>Other 8</t>
  </si>
  <si>
    <t>Other 9</t>
  </si>
  <si>
    <t>Other 10</t>
  </si>
  <si>
    <t>Other Products</t>
  </si>
  <si>
    <t>Price to Subscriber / End User</t>
  </si>
  <si>
    <t>a</t>
  </si>
  <si>
    <t>b</t>
  </si>
  <si>
    <t>c</t>
  </si>
  <si>
    <t>d</t>
  </si>
  <si>
    <t>Financing Options</t>
  </si>
  <si>
    <r>
      <t xml:space="preserve">SP Lease Rate Factor </t>
    </r>
    <r>
      <rPr>
        <b/>
        <sz val="11"/>
        <color theme="1"/>
        <rFont val="Calibri"/>
        <family val="2"/>
        <scheme val="minor"/>
      </rPr>
      <t>(enter your actual rate factor)</t>
    </r>
  </si>
  <si>
    <t>Monthly payment for Financed Products</t>
  </si>
  <si>
    <t>e</t>
  </si>
  <si>
    <t>Monthly Recurring Sales Option</t>
  </si>
  <si>
    <t>Upfront Costs</t>
  </si>
  <si>
    <t>Shipping &amp; Handling Costs</t>
  </si>
  <si>
    <t>*this figure is only meant to provide a rough estimate; actual charges may vary</t>
  </si>
  <si>
    <t>Total Up-Front Payment</t>
  </si>
  <si>
    <t>Monthly Recurring Costs</t>
  </si>
  <si>
    <t>Product Costs (Financed)</t>
  </si>
  <si>
    <t>Total Recurring Monthly Payment</t>
  </si>
  <si>
    <t>*if lease rate factor is populated, product costs move to recurring</t>
  </si>
  <si>
    <t>Total HaaR Payment to Subscriber, Price per Hour</t>
  </si>
  <si>
    <t>*172 working hours per month</t>
  </si>
  <si>
    <t>Pay Cash for Project, Price per Hour</t>
  </si>
  <si>
    <t>Shaded areas are Service Provider Inputs</t>
  </si>
  <si>
    <r>
      <t xml:space="preserve">Collabrance Cost of Goods </t>
    </r>
    <r>
      <rPr>
        <sz val="9"/>
        <color theme="1"/>
        <rFont val="Calibri"/>
        <family val="2"/>
      </rPr>
      <t>(Net of Applicable Discounts)</t>
    </r>
  </si>
  <si>
    <t>Quick Navigation Links</t>
  </si>
  <si>
    <t>Exhibit B</t>
  </si>
  <si>
    <t>Workstation/Server Support</t>
  </si>
  <si>
    <t>Collabrance Q4 2024 Price Schedule &amp; Order Form</t>
  </si>
  <si>
    <t>Backup</t>
  </si>
  <si>
    <t>NOC Services</t>
  </si>
  <si>
    <t>UTM</t>
  </si>
  <si>
    <t>Subscriber Name</t>
  </si>
  <si>
    <t>Additional Elective Offerings</t>
  </si>
  <si>
    <t>Service Provider Name</t>
  </si>
  <si>
    <t>Order Summary</t>
  </si>
  <si>
    <t>Service Provider Project Manager</t>
  </si>
  <si>
    <t>Notes</t>
  </si>
  <si>
    <t>Service Provider Technical Contact</t>
  </si>
  <si>
    <t>Order Date</t>
  </si>
  <si>
    <t>Targeted Service Start Date</t>
  </si>
  <si>
    <r>
      <t xml:space="preserve">Order Type </t>
    </r>
    <r>
      <rPr>
        <i/>
        <sz val="12.6"/>
        <color theme="1"/>
        <rFont val="Calibri"/>
        <family val="2"/>
      </rPr>
      <t>(Dropdown)</t>
    </r>
  </si>
  <si>
    <t>*S&amp;H figures are a rough estimate; actuals may vary</t>
  </si>
  <si>
    <t>City, State</t>
  </si>
  <si>
    <t>Quantity</t>
  </si>
  <si>
    <t xml:space="preserve"> Set-up Cost</t>
  </si>
  <si>
    <t>Product Cost</t>
  </si>
  <si>
    <t>*S&amp;H Estimate</t>
  </si>
  <si>
    <t xml:space="preserve"> Recurring Cost</t>
  </si>
  <si>
    <t>Workstation &amp; Server Support</t>
  </si>
  <si>
    <t>Workstation Support (Required for every device in active directory/Azure active directory (Entra ID))</t>
  </si>
  <si>
    <t>Workstations</t>
  </si>
  <si>
    <t>Non-Server Device</t>
  </si>
  <si>
    <t>SP-23</t>
  </si>
  <si>
    <t>Monthly Recurring</t>
  </si>
  <si>
    <t>Setup fee per Non-Server Device (during initial onboarding)</t>
  </si>
  <si>
    <t>RMM-9123</t>
  </si>
  <si>
    <t>Set-up Cost</t>
  </si>
  <si>
    <t>Server Support (Required for all physical and virtual servers)</t>
  </si>
  <si>
    <t>Servers</t>
  </si>
  <si>
    <t>Ultimate Care Server</t>
  </si>
  <si>
    <t>RMM-1310</t>
  </si>
  <si>
    <t xml:space="preserve">For any offerings below that are added to NOC Services, all user requests/communication related to those offerings will need to go through the Service Provider </t>
  </si>
  <si>
    <t>Disaster Recovery as a Service (DRaaS)</t>
  </si>
  <si>
    <t>Appliance</t>
  </si>
  <si>
    <t>Backup Disaster Recovery - Local or Cloud Virtualization</t>
  </si>
  <si>
    <t># of Devices</t>
  </si>
  <si>
    <t>Retention Period</t>
  </si>
  <si>
    <t>Monthly Service</t>
  </si>
  <si>
    <t>Siris 5X 2TB Desktop Appliance:  Unlimited Agents possible, 5 year warranty, local storage capacity</t>
  </si>
  <si>
    <t>1 Year Retention</t>
  </si>
  <si>
    <t>7 Year Retention</t>
  </si>
  <si>
    <t>Infinite Cloud Retention</t>
  </si>
  <si>
    <t>Yes</t>
  </si>
  <si>
    <r>
      <t xml:space="preserve">S5X: 2TB capacity, Solid State </t>
    </r>
    <r>
      <rPr>
        <sz val="10"/>
        <rFont val="Calibri"/>
        <family val="2"/>
      </rPr>
      <t>not upgradable, with 1 Agent</t>
    </r>
  </si>
  <si>
    <t>Siris 5X 4TB Desktop Appliance:  Unlimited Agents possible, 5 year warranty, local storage capacity Minimum 2 agents</t>
  </si>
  <si>
    <r>
      <t xml:space="preserve">S5X4: 4TB capacity, Solid State </t>
    </r>
    <r>
      <rPr>
        <sz val="10"/>
        <rFont val="Calibri"/>
        <family val="2"/>
      </rPr>
      <t>not upgradable, with 2 Agent</t>
    </r>
    <r>
      <rPr>
        <sz val="10"/>
        <rFont val="Calibri"/>
        <family val="2"/>
        <scheme val="minor"/>
      </rPr>
      <t>s</t>
    </r>
  </si>
  <si>
    <t>Additional Agents for Siris 5X</t>
  </si>
  <si>
    <t>Siris 5X - Additional Agents</t>
  </si>
  <si>
    <r>
      <t>S5X: Additional Agent</t>
    </r>
    <r>
      <rPr>
        <b/>
        <sz val="10"/>
        <rFont val="Calibri"/>
        <family val="2"/>
      </rPr>
      <t xml:space="preserve"> (unlimited agents possible)</t>
    </r>
  </si>
  <si>
    <t xml:space="preserve">Siris 5 Rack Mount Appliances: Unlimited Agents, 5 year warranty, local storage capacity </t>
  </si>
  <si>
    <t>S5 - 2TB capacity, field upgradable to 3TB or 4TB</t>
  </si>
  <si>
    <t>S5 - 3TB capacity, field upgradable to 4TB</t>
  </si>
  <si>
    <t>S5 - 4TB capacity, not field upgradable</t>
  </si>
  <si>
    <t>S5 - 6TB capacity, field upgradable to 8TB</t>
  </si>
  <si>
    <t>S5 - 8TB capacity not field upgradable</t>
  </si>
  <si>
    <r>
      <t>S5 - 12TB capacit</t>
    </r>
    <r>
      <rPr>
        <sz val="10"/>
        <color theme="1"/>
        <rFont val="Calibri"/>
        <family val="2"/>
        <scheme val="minor"/>
      </rPr>
      <t>y, not field upgradable</t>
    </r>
  </si>
  <si>
    <t xml:space="preserve">36 month commitment required. After term commit is fullfilled, if moving to month-to-month service, additional Monthly Fees will apply. </t>
  </si>
  <si>
    <t>Contact Sales for other service commit options, and larger appliance options.</t>
  </si>
  <si>
    <t>Backup Disaster Recovery - Cloud Virtualization Only</t>
  </si>
  <si>
    <t>Alto 4 Desktop Appliance:  1 to 4 Agents, 3 year warranty, local storage capacity</t>
  </si>
  <si>
    <r>
      <t xml:space="preserve">1TB capacity, Solid State not upgradeable, </t>
    </r>
    <r>
      <rPr>
        <b/>
        <sz val="10"/>
        <rFont val="Calibri"/>
        <family val="2"/>
        <scheme val="minor"/>
      </rPr>
      <t>1 Agent</t>
    </r>
  </si>
  <si>
    <r>
      <t xml:space="preserve">1TB capacity, Solid State not upgradeable, </t>
    </r>
    <r>
      <rPr>
        <b/>
        <sz val="10"/>
        <rFont val="Calibri"/>
        <family val="2"/>
        <scheme val="minor"/>
      </rPr>
      <t>2 Agents</t>
    </r>
  </si>
  <si>
    <r>
      <t xml:space="preserve">1TB capacity, Solid State not upgradeable, </t>
    </r>
    <r>
      <rPr>
        <b/>
        <sz val="10"/>
        <rFont val="Calibri"/>
        <family val="2"/>
        <scheme val="minor"/>
      </rPr>
      <t>3 Agents</t>
    </r>
  </si>
  <si>
    <r>
      <t xml:space="preserve">1TB capacity, Solid State not upgradeable, </t>
    </r>
    <r>
      <rPr>
        <b/>
        <sz val="10"/>
        <rFont val="Calibri"/>
        <family val="2"/>
        <scheme val="minor"/>
      </rPr>
      <t>4 Agents</t>
    </r>
  </si>
  <si>
    <t>Input for other/larger Datto Devices</t>
  </si>
  <si>
    <t>File-Level Cloud Backup Solution</t>
  </si>
  <si>
    <t>File-level Cloud Backup For Servers</t>
  </si>
  <si>
    <t>Overage / GB</t>
  </si>
  <si>
    <t>Devices</t>
  </si>
  <si>
    <t>500 GB per Server</t>
  </si>
  <si>
    <t>DPR-1215</t>
  </si>
  <si>
    <t>Setup fee for File-level Cloud Backup for Servers</t>
  </si>
  <si>
    <t>DPR-9100</t>
  </si>
  <si>
    <t>* Please be advised of the recovery limitations of this type of File-Level backup solution.</t>
  </si>
  <si>
    <t>Unified Threat Management Appliances, Wireless Access Points</t>
  </si>
  <si>
    <t>FortiGate 40F, 600Mbps, max 8 APs, with 3 port Wattbox</t>
  </si>
  <si>
    <t>SEC-1170</t>
  </si>
  <si>
    <t>FortiGate 60F, 700Mbps, max 32 APs, with 3 port Wattbox</t>
  </si>
  <si>
    <t>SEC-1257</t>
  </si>
  <si>
    <t>FortiGate 80F, 900Mbps, max 48 APs, with 3 port Wattbox</t>
  </si>
  <si>
    <t>SEC-1357</t>
  </si>
  <si>
    <r>
      <t>FortiGate 90G, 2.2Gbps, max 48 APs,</t>
    </r>
    <r>
      <rPr>
        <vertAlign val="superscript"/>
        <sz val="10"/>
        <rFont val="Calibri"/>
        <family val="2"/>
      </rPr>
      <t xml:space="preserve"> </t>
    </r>
    <r>
      <rPr>
        <sz val="10"/>
        <rFont val="Calibri"/>
        <family val="2"/>
      </rPr>
      <t>with 3 port Wattbox</t>
    </r>
    <r>
      <rPr>
        <vertAlign val="superscript"/>
        <sz val="10"/>
        <rFont val="Calibri"/>
        <family val="2"/>
      </rPr>
      <t>1</t>
    </r>
  </si>
  <si>
    <t>SEC-1456</t>
  </si>
  <si>
    <t>Setup fee per FortiGate device</t>
  </si>
  <si>
    <t>SEC-9400</t>
  </si>
  <si>
    <t>*Multiple ISP's requires 60F or higher</t>
  </si>
  <si>
    <t>Non-Collabrance Owned Devices - Management Only Fees - Requires active FortiCare and FortiGuard UTP subscriptions</t>
  </si>
  <si>
    <t>FortiGate 40F Management Only</t>
  </si>
  <si>
    <t>SEC-8053</t>
  </si>
  <si>
    <t>FortiGate 60F Management Only</t>
  </si>
  <si>
    <t>SEC-8054</t>
  </si>
  <si>
    <t>FortiGate 80F Management Only</t>
  </si>
  <si>
    <t>SEC-8055</t>
  </si>
  <si>
    <t>FortiGate 90G Management Only</t>
  </si>
  <si>
    <t>SEC-8059</t>
  </si>
  <si>
    <t>Setup fee per Management Only FortiGate device</t>
  </si>
  <si>
    <t>SEC-9401</t>
  </si>
  <si>
    <t>FortiAP 221E (Wave2, 2.4/5Ghz dual radio, 2x2 (dual stream), low density, a/b/g/n/ac)</t>
  </si>
  <si>
    <t>SEC-3015</t>
  </si>
  <si>
    <t>FortiAP 231F (Wi-Fi 6, 2.4/5Ghz, 3+1BLE radio, 2x2 MU-MIMO, 802.11ax, 802.3at POE+ required)</t>
  </si>
  <si>
    <t>SEC-3029</t>
  </si>
  <si>
    <t>FortiAP 431F (Wi-Fi 6, 2.4/5Ghz, 3+1BLE radio, 4x4 MU-MIMO, 802.11ax, 802.3at POE+ required)</t>
  </si>
  <si>
    <t>SEC-3030</t>
  </si>
  <si>
    <t>FortiAP 231G (Wi-Fi 6E, 2.4/5/6Ghz, 3+1BLE radio, 2x2 MU-MIMO, 802.11ax, 802.3at POE+ required)</t>
  </si>
  <si>
    <t xml:space="preserve">SEC-3031 </t>
  </si>
  <si>
    <t>FortiAP 431G (Wi-Fi 6E, 2.4/5/6Ghz, 3+1BLE radio, 4x4 MU-MIMO, 802.11ax, 802.3at POE+ required)</t>
  </si>
  <si>
    <t xml:space="preserve">SEC-3032 </t>
  </si>
  <si>
    <t>Non-Collabrance Owned Access Point Management Only</t>
  </si>
  <si>
    <t>SEC-8001</t>
  </si>
  <si>
    <t>GPI-115 Gigabit POE Injector 802.3af, up to 15.4 Watts</t>
  </si>
  <si>
    <t>SEC-9050</t>
  </si>
  <si>
    <t>GPI-130 Gigabit POE+ Injector 802.3at, up to 30 Watts</t>
  </si>
  <si>
    <t>SEC-9052</t>
  </si>
  <si>
    <t>Power required but not included with any FortiAPs listed above</t>
  </si>
  <si>
    <r>
      <rPr>
        <b/>
        <vertAlign val="superscript"/>
        <sz val="10"/>
        <rFont val="Calibri"/>
        <family val="2"/>
      </rPr>
      <t>1</t>
    </r>
    <r>
      <rPr>
        <b/>
        <sz val="10"/>
        <rFont val="Calibri"/>
        <family val="2"/>
        <scheme val="minor"/>
      </rPr>
      <t>36 month commitment required; for option to purchase device at initial purchase or during service agreement, contact Collabrance</t>
    </r>
  </si>
  <si>
    <t>Additional Unified Threat Management Solutions/Services</t>
  </si>
  <si>
    <t>Each</t>
  </si>
  <si>
    <t>User Based Reporting, per FortiGate (AD/LDAP required, not AAD compatible)</t>
  </si>
  <si>
    <t>SEC-1900</t>
  </si>
  <si>
    <t>Wattbox Only - 3 port</t>
  </si>
  <si>
    <t>SEC-1950</t>
  </si>
  <si>
    <t>Wattbox Only - 5 port</t>
  </si>
  <si>
    <t>SEC-1960</t>
  </si>
  <si>
    <r>
      <t xml:space="preserve">*Site-to-site Fortinet VPN Setup Fee, </t>
    </r>
    <r>
      <rPr>
        <sz val="10"/>
        <rFont val="Calibri"/>
        <family val="2"/>
      </rPr>
      <t>per tunnel</t>
    </r>
  </si>
  <si>
    <t>SEC-9015</t>
  </si>
  <si>
    <t>*User Based Reporting Setup Fee, per FortiGate (AD/LDAP required, not AAD compatible)</t>
  </si>
  <si>
    <t>SEC-9023</t>
  </si>
  <si>
    <t>Hour</t>
  </si>
  <si>
    <t>Custom web content filtering (Time &amp; Materials, per hour)</t>
  </si>
  <si>
    <t>*Pricing assumes Collabrance managed FortiGates; billed at hourly rate for devices not managed by Collabrance</t>
  </si>
  <si>
    <t>O365 &amp; M365 Backup - Datto SaaS Protection</t>
  </si>
  <si>
    <t># of Mailboxes</t>
  </si>
  <si>
    <t>Datto SaaS Protection</t>
  </si>
  <si>
    <t>Datto SaaS Protection setup</t>
  </si>
  <si>
    <t>COM-9400</t>
  </si>
  <si>
    <t>For a single domain, all licenses must have the same retention period (1 year or Infinite Cloud). Our recommendation and standard process for Datto SaaS is to backup all mailboxes.</t>
  </si>
  <si>
    <t>Pricing is per mailbox, per domain. If multiple domains share a mailbox only 1 license is required per mailbox.</t>
  </si>
  <si>
    <t>Backup of Exchange, Tasks, OneDrive, SharePoint and Teams data</t>
  </si>
  <si>
    <t>FortiSwitch</t>
  </si>
  <si>
    <t>FortiSwitch - POE</t>
  </si>
  <si>
    <r>
      <t>FS-108F-FPOE</t>
    </r>
    <r>
      <rPr>
        <sz val="10"/>
        <rFont val="Calibri"/>
        <family val="2"/>
      </rPr>
      <t>: L2+ 8x GE RJ45, 2x GE SFP ports (130w power budget)</t>
    </r>
  </si>
  <si>
    <t>SEC-4001</t>
  </si>
  <si>
    <r>
      <t>FS-124F-POE</t>
    </r>
    <r>
      <rPr>
        <sz val="10"/>
        <color theme="1"/>
        <rFont val="Calibri"/>
        <family val="2"/>
      </rPr>
      <t>: L2+ 24x GE RJ45, 4x GE SFP ports (185w power budget)</t>
    </r>
  </si>
  <si>
    <t>SEC-4040</t>
  </si>
  <si>
    <r>
      <t>FS-124F-FPOE</t>
    </r>
    <r>
      <rPr>
        <sz val="10"/>
        <color theme="1"/>
        <rFont val="Calibri"/>
        <family val="2"/>
      </rPr>
      <t>: L2+ 24x GE RJ45, 4x GE SFP ports (370w power budget)</t>
    </r>
  </si>
  <si>
    <t>SEC-4140</t>
  </si>
  <si>
    <r>
      <t>FS-148F-POE</t>
    </r>
    <r>
      <rPr>
        <sz val="10"/>
        <color theme="1"/>
        <rFont val="Calibri"/>
        <family val="2"/>
      </rPr>
      <t>: L2+ 48x GE RJ45, 4x GE SFP ports (370w power budget)</t>
    </r>
  </si>
  <si>
    <t>SEC-4041</t>
  </si>
  <si>
    <r>
      <t>FS-148F-FPOE</t>
    </r>
    <r>
      <rPr>
        <sz val="10"/>
        <color theme="1"/>
        <rFont val="Calibri"/>
        <family val="2"/>
      </rPr>
      <t>: L2+ 48x GE RJ45, 4x GE SFP ports (740w power budget)</t>
    </r>
  </si>
  <si>
    <t>SEC-4141</t>
  </si>
  <si>
    <r>
      <rPr>
        <sz val="10"/>
        <color theme="1"/>
        <rFont val="Calibri"/>
        <family val="2"/>
      </rPr>
      <t>FS-224E-POE</t>
    </r>
    <r>
      <rPr>
        <sz val="10"/>
        <color theme="1"/>
        <rFont val="Calibri"/>
        <family val="2"/>
        <scheme val="minor"/>
      </rPr>
      <t>: L2/3 24x GE RJ45, 4x GE SFP ports (180w power budget)</t>
    </r>
  </si>
  <si>
    <t>SEC-4020</t>
  </si>
  <si>
    <r>
      <rPr>
        <sz val="10"/>
        <color theme="1"/>
        <rFont val="Calibri"/>
        <family val="2"/>
      </rPr>
      <t>FS-224D-FPOE</t>
    </r>
    <r>
      <rPr>
        <sz val="10"/>
        <color theme="1"/>
        <rFont val="Calibri"/>
        <family val="2"/>
        <scheme val="minor"/>
      </rPr>
      <t>: L2/3 24x GE RJ45, 4x GE SFP ports (370w power budget)</t>
    </r>
  </si>
  <si>
    <t>SEC-4100</t>
  </si>
  <si>
    <r>
      <rPr>
        <sz val="10"/>
        <color theme="1"/>
        <rFont val="Calibri"/>
        <family val="2"/>
      </rPr>
      <t>FS-248E-POE</t>
    </r>
    <r>
      <rPr>
        <sz val="10"/>
        <color theme="1"/>
        <rFont val="Calibri"/>
        <family val="2"/>
        <scheme val="minor"/>
      </rPr>
      <t>: L2/3 48x GE RJ45, 4x GE SFP ports (370w power budget)</t>
    </r>
  </si>
  <si>
    <t>SEC-4030</t>
  </si>
  <si>
    <r>
      <rPr>
        <sz val="10"/>
        <color theme="1"/>
        <rFont val="Calibri"/>
        <family val="2"/>
      </rPr>
      <t>FS-248E-FPOE</t>
    </r>
    <r>
      <rPr>
        <sz val="10"/>
        <color theme="1"/>
        <rFont val="Calibri"/>
        <family val="2"/>
        <scheme val="minor"/>
      </rPr>
      <t>: L2/3 48x GE RJ45, 4x GE SFP ports (740w power budget)</t>
    </r>
  </si>
  <si>
    <t>SEC-4115</t>
  </si>
  <si>
    <t>FortiSwitch - Non-POE</t>
  </si>
  <si>
    <r>
      <t>FS-108F</t>
    </r>
    <r>
      <rPr>
        <sz val="10"/>
        <color theme="1"/>
        <rFont val="Calibri"/>
        <family val="2"/>
      </rPr>
      <t>: L2 8x GE RJ45, 2x GE SFP</t>
    </r>
    <r>
      <rPr>
        <sz val="10"/>
        <color theme="1"/>
        <rFont val="Calibri"/>
        <family val="2"/>
        <scheme val="minor"/>
      </rPr>
      <t xml:space="preserve"> ports</t>
    </r>
  </si>
  <si>
    <t>SEC-4205</t>
  </si>
  <si>
    <r>
      <rPr>
        <sz val="10"/>
        <color theme="1"/>
        <rFont val="Calibri"/>
        <family val="2"/>
      </rPr>
      <t>FS-124F</t>
    </r>
    <r>
      <rPr>
        <sz val="10"/>
        <color theme="1"/>
        <rFont val="Calibri"/>
        <family val="2"/>
        <scheme val="minor"/>
      </rPr>
      <t>: L2 24x GE RJ45, 4x GE SFP ports</t>
    </r>
  </si>
  <si>
    <t>SEC-4200</t>
  </si>
  <si>
    <r>
      <rPr>
        <sz val="10"/>
        <color theme="1"/>
        <rFont val="Calibri"/>
        <family val="2"/>
      </rPr>
      <t>FS-148F</t>
    </r>
    <r>
      <rPr>
        <sz val="10"/>
        <color theme="1"/>
        <rFont val="Calibri"/>
        <family val="2"/>
        <scheme val="minor"/>
      </rPr>
      <t>: L2+ 48x GE RJ45, 4x GE SFP ports</t>
    </r>
  </si>
  <si>
    <t>SEC-4011</t>
  </si>
  <si>
    <r>
      <t>FS-248D</t>
    </r>
    <r>
      <rPr>
        <sz val="10"/>
        <color theme="1"/>
        <rFont val="Calibri"/>
        <family val="2"/>
      </rPr>
      <t>: L2/3 48x GE RJ45, 4x GE SFP ports</t>
    </r>
  </si>
  <si>
    <t>SEC-4210</t>
  </si>
  <si>
    <t>Non-Collabrance Owned Switch Management Only Fee</t>
  </si>
  <si>
    <t>SEC-8500</t>
  </si>
  <si>
    <t>FortiSwitch Setup Fees</t>
  </si>
  <si>
    <t>Setup Fee</t>
  </si>
  <si>
    <t>SEC-9300</t>
  </si>
  <si>
    <t>All FortiSwitches are rack mount, excluding FS-108 which has a Desktop form factor</t>
  </si>
  <si>
    <t>All FortiSwitches require 18 month commitment; for option to purchase device at initial purchase or during service agreement, contact Collabrance</t>
  </si>
  <si>
    <t>POE Switch Power Budgets</t>
  </si>
  <si>
    <t>All POE switches are now POE (802.3af) (15.4w)  and POE+ (802.3at) (30w) compatible</t>
  </si>
  <si>
    <t>Switch</t>
  </si>
  <si>
    <t>Ports</t>
  </si>
  <si>
    <t>Power Budget (in watts)</t>
  </si>
  <si>
    <t>PoE ports (15.4w)</t>
  </si>
  <si>
    <t>PoE+ ports (30w)</t>
  </si>
  <si>
    <t>FS-108F-FPOE</t>
  </si>
  <si>
    <t>2x GE SFP ports</t>
  </si>
  <si>
    <t>FS-124F-POE</t>
  </si>
  <si>
    <t>4x GE SFP ports</t>
  </si>
  <si>
    <t>FS-124F-FPOE</t>
  </si>
  <si>
    <t>FS-148F-POE</t>
  </si>
  <si>
    <t>FS-148F-FPOE</t>
  </si>
  <si>
    <t>FS-224E-POE</t>
  </si>
  <si>
    <t>FS-224D-FPOE</t>
  </si>
  <si>
    <t>4x GE SFP ports, Optional RPS</t>
  </si>
  <si>
    <t>FS-248E-POE</t>
  </si>
  <si>
    <t>FS-248E-FPOE</t>
  </si>
  <si>
    <t>All Fortinet switches are FortiGate FortiLink compatible unless noted above</t>
  </si>
  <si>
    <t>Vulnerability &amp; Penetration Testing</t>
  </si>
  <si>
    <t xml:space="preserve">Vulnerability and Penetration Testing </t>
  </si>
  <si>
    <t>Contact Sales</t>
  </si>
  <si>
    <t>HaaP &amp; IaaS</t>
  </si>
  <si>
    <t>Due to the competitive nature of hardware/software and ever improving feature/function of server hardware/software, along with the depth and scope of your project, please contact Collabrance Sales Engineering to discuss your opportunity and systems requirements. 855-636-9499</t>
  </si>
  <si>
    <t>Other Fees</t>
  </si>
  <si>
    <t>Other Recurring Charges</t>
  </si>
  <si>
    <t>Other One-time / Set up Charges</t>
  </si>
  <si>
    <t>Other Product Cost</t>
  </si>
  <si>
    <t>When adding Other Fees, please use the Additional Notes section at the bottom of this tab to identify the service(s) being provided.</t>
  </si>
  <si>
    <t>Total Services</t>
  </si>
  <si>
    <t>Summary by Product Type</t>
  </si>
  <si>
    <t>S&amp;H Estimate</t>
  </si>
  <si>
    <t>Additional Monthly Fee to get to $250 Monthly Minimum</t>
  </si>
  <si>
    <t>Notes (e.g. Extended Term Agreement Needed):</t>
  </si>
  <si>
    <t>Additional Notes:</t>
  </si>
  <si>
    <t>User/Server Support</t>
  </si>
  <si>
    <t>NOC+Service Desk</t>
  </si>
  <si>
    <t>Email</t>
  </si>
  <si>
    <t>User, Email Only User, Non-Server &amp; Server Support</t>
  </si>
  <si>
    <t>User Support (Every supported user must be setup in Active Directory (AD) or Entra ID)</t>
  </si>
  <si>
    <t>Users</t>
  </si>
  <si>
    <t>Ultimate Care End-User</t>
  </si>
  <si>
    <t>SP-26</t>
  </si>
  <si>
    <t>Ultimate Care Email Only User</t>
  </si>
  <si>
    <r>
      <t xml:space="preserve">Setup fee per user (during initial onboarding) - </t>
    </r>
    <r>
      <rPr>
        <sz val="9"/>
        <color theme="1"/>
        <rFont val="Calibri"/>
        <family val="2"/>
      </rPr>
      <t>excludes Mobile Email Only Users</t>
    </r>
  </si>
  <si>
    <t>RMM-9122</t>
  </si>
  <si>
    <t>*For workgroup environments (i.e. no AD/Entra ID) please reach out to Collabrance Sales to discuss billing implications prior to quoting to the customer or submitting an order</t>
  </si>
  <si>
    <t>Setup Fees</t>
  </si>
  <si>
    <t>Setup fee per DRaaS device/solution</t>
  </si>
  <si>
    <t>Image-Level Cloud Backup / DRaaS for Win10 PCs</t>
  </si>
  <si>
    <t>Cloud Continuity for PCs</t>
  </si>
  <si>
    <t>Image-level cloud backup DRaaS for Win10 PCs only</t>
  </si>
  <si>
    <t>DPR-8000</t>
  </si>
  <si>
    <t>Requires 12 month commitment to service</t>
  </si>
  <si>
    <t>File-level Cloud Backup for Desktops and Laptops</t>
  </si>
  <si>
    <t>100 GB per Desktop/Laptop ONLY (Server OS not supported)</t>
  </si>
  <si>
    <t>DPR-1200</t>
  </si>
  <si>
    <t>Please be advised of the recovery limitations of this type of File-Level backup solution.</t>
  </si>
  <si>
    <t>Named Files Cloud Backup Solution</t>
  </si>
  <si>
    <t>Named Files Cloud Backup for Desktops and Laptops</t>
  </si>
  <si>
    <t>Unlimited Specific Business Documents (Documents, Presentations, Spreadsheets)</t>
  </si>
  <si>
    <t>DPR-1210</t>
  </si>
  <si>
    <t>Select Auto-deploy Preference</t>
  </si>
  <si>
    <t>Auto-deploy for all laptops?  (Do you want Named Files Cloud Backup to automatically be deployed on all laptops as they're added to the network?)</t>
  </si>
  <si>
    <t>Auto-deploy for all desktops? (Do you want Named Files Cloud Backup to be automatically deployed on all desktops as they're added to the network?)</t>
  </si>
  <si>
    <t>If you select "No" for either of the Auto-deploy Preference dropdowns above, when additional devices of the device type(s) for which you selected "No" are added to the environment, Named Files Cloud Backup will only be deployed to those devices if Collabrance receives explicit direction to do so for those specific devices.</t>
  </si>
  <si>
    <t>Non-Collabrance Owned Devices - Management Only Fees</t>
  </si>
  <si>
    <t>Multi Factor Authentication (for VPN)</t>
  </si>
  <si>
    <t>FortiTokenMobile User Support, per User (for vpn remote access only)</t>
  </si>
  <si>
    <t>SEC-4320</t>
  </si>
  <si>
    <t>FortiTokenMobile, 5-pack User Perpetual Licenses</t>
  </si>
  <si>
    <t>SEC-9110</t>
  </si>
  <si>
    <t>FortiTokenMobile, 10-pack User Perpetual Licenses</t>
  </si>
  <si>
    <t>SEC-9115</t>
  </si>
  <si>
    <t>FortiTokenMobile setup fees, per User</t>
  </si>
  <si>
    <t>SEC-9100</t>
  </si>
  <si>
    <t>Contact Sales for bulk pricing on packs of Perpetual Licenses if 50+ users</t>
  </si>
  <si>
    <t>Contact Sales Engineering to determine if Duo MFA may be a better option for the Subscriber</t>
  </si>
  <si>
    <t>Email Solutions</t>
  </si>
  <si>
    <t>Microsoft Monthly Commit Options</t>
  </si>
  <si>
    <t>Mailboxes</t>
  </si>
  <si>
    <t>NCE - Exchange Online (Plan 1)</t>
  </si>
  <si>
    <t>COM-5003</t>
  </si>
  <si>
    <t>NCE - Microsoft 365 Business Basic</t>
  </si>
  <si>
    <t>COM-5002</t>
  </si>
  <si>
    <t>NCE - Microsoft 365 Business Standard</t>
  </si>
  <si>
    <t>COM-5000</t>
  </si>
  <si>
    <t>NCE - Microsoft 365 Business Premium</t>
  </si>
  <si>
    <t>COM-5001</t>
  </si>
  <si>
    <t>NCE - Office 365 E1</t>
  </si>
  <si>
    <t>COM-5005</t>
  </si>
  <si>
    <t>NCE - Office 365 E3</t>
  </si>
  <si>
    <t>COM-5006</t>
  </si>
  <si>
    <t>NCE - Office 365 E5</t>
  </si>
  <si>
    <t>COM-5007</t>
  </si>
  <si>
    <t xml:space="preserve">Please update input cell below for </t>
  </si>
  <si>
    <t>Pricing has been updated to reflect month-to-month pricing under Microsoft's NCE (New Commerce Experience) model</t>
  </si>
  <si>
    <t>mailbox migration fees as necessary</t>
  </si>
  <si>
    <t>Monthly and Annual subscription licensing can be combined to allow for flexibility in your licensing deployment</t>
  </si>
  <si>
    <t>Microsoft Annual Commit Options</t>
  </si>
  <si>
    <t>NCE - Exchange Online (Plan 1) (AC)</t>
  </si>
  <si>
    <t>COM-5200</t>
  </si>
  <si>
    <t>NCE - Microsoft 365 Business Basic (AC)</t>
  </si>
  <si>
    <t>COM-5201</t>
  </si>
  <si>
    <t>NCE - Microsoft 365 Business Standard (AC)</t>
  </si>
  <si>
    <t>COM-5202</t>
  </si>
  <si>
    <t>NCE - Microsoft 365 Business Premium (AC)</t>
  </si>
  <si>
    <t>COM-5203</t>
  </si>
  <si>
    <t>NCE - Office 365 E1 (AC)</t>
  </si>
  <si>
    <t>COM-5204</t>
  </si>
  <si>
    <t>NCE - Office 365 E3 (AC)</t>
  </si>
  <si>
    <t>COM-5205</t>
  </si>
  <si>
    <t>NCE - Office 365 E5 (AC)</t>
  </si>
  <si>
    <t>COM-5206</t>
  </si>
  <si>
    <t>Pricing has been updated to reflect Annual pricing under Microsoft's NCE (New Commerce Experience) model</t>
  </si>
  <si>
    <t>Annual subscription licensing requires an annual commitment</t>
  </si>
  <si>
    <t>Migration Fees</t>
  </si>
  <si>
    <t>M365/O365 migration, per User Mailbox/Shared Mailbox</t>
  </si>
  <si>
    <t>COM-9120</t>
  </si>
  <si>
    <t>No setup fees for tenant transfers</t>
  </si>
  <si>
    <r>
      <t xml:space="preserve">Contact Sales Engineering for pricing on migration of </t>
    </r>
    <r>
      <rPr>
        <b/>
        <sz val="10"/>
        <rFont val="Calibri"/>
        <family val="2"/>
      </rPr>
      <t>Resources/</t>
    </r>
    <r>
      <rPr>
        <b/>
        <sz val="10"/>
        <rFont val="Calibri"/>
        <family val="2"/>
        <scheme val="minor"/>
      </rPr>
      <t>Shared Resources</t>
    </r>
  </si>
  <si>
    <t>M365 &amp; O365 Licenses</t>
  </si>
  <si>
    <t>Exchange Online Plan 1</t>
  </si>
  <si>
    <t>M365 Business Basic</t>
  </si>
  <si>
    <t>M365
Business Standard</t>
  </si>
  <si>
    <t>M365
Business Premium</t>
  </si>
  <si>
    <t>O365
Enterprise E1</t>
  </si>
  <si>
    <t>O365
Enterprise E3</t>
  </si>
  <si>
    <t>O365
Enterprise E5</t>
  </si>
  <si>
    <t>50GB</t>
  </si>
  <si>
    <t xml:space="preserve"> 50GB</t>
  </si>
  <si>
    <t>100GB</t>
  </si>
  <si>
    <r>
      <t>Office Suite</t>
    </r>
    <r>
      <rPr>
        <sz val="11"/>
        <color theme="1"/>
        <rFont val="Calibri"/>
        <family val="2"/>
        <scheme val="minor"/>
      </rPr>
      <t>*</t>
    </r>
  </si>
  <si>
    <t>X</t>
  </si>
  <si>
    <t>Office Online</t>
  </si>
  <si>
    <t>Teams</t>
  </si>
  <si>
    <t>SharePoint</t>
  </si>
  <si>
    <t>Plan 1</t>
  </si>
  <si>
    <t>Plan 2</t>
  </si>
  <si>
    <t>OneDrive</t>
  </si>
  <si>
    <t>Defender for Office 365</t>
  </si>
  <si>
    <t>Entra ID (formerly Azure Active Directory)</t>
  </si>
  <si>
    <t>Free version</t>
  </si>
  <si>
    <t>Exchange Archiving</t>
  </si>
  <si>
    <t>1.5TB</t>
  </si>
  <si>
    <t>Message Encryption</t>
  </si>
  <si>
    <t>Basic</t>
  </si>
  <si>
    <t>Advanced</t>
  </si>
  <si>
    <t>Intune, MAM &amp; MDM</t>
  </si>
  <si>
    <t>Multi Factor Authentication</t>
  </si>
  <si>
    <t>Windows Auto Pilot</t>
  </si>
  <si>
    <t>eDiscovery</t>
  </si>
  <si>
    <t>Standard</t>
  </si>
  <si>
    <t>Premium</t>
  </si>
  <si>
    <r>
      <rPr>
        <b/>
        <vertAlign val="superscript"/>
        <sz val="10"/>
        <rFont val="Calibri"/>
        <family val="2"/>
      </rPr>
      <t>*</t>
    </r>
    <r>
      <rPr>
        <b/>
        <sz val="10"/>
        <rFont val="Calibri"/>
        <family val="2"/>
        <scheme val="minor"/>
      </rPr>
      <t>Office Suite includes: Outlook, Word, Excel, PowerPoint, OneNote &amp; Publishe</t>
    </r>
    <r>
      <rPr>
        <b/>
        <sz val="11"/>
        <rFont val="Calibri"/>
        <family val="2"/>
        <scheme val="minor"/>
      </rPr>
      <t>r</t>
    </r>
  </si>
  <si>
    <t>Not all M/O365 features and functions are supported by the Service Desk. Features subject to change at Microsofts own discretion.</t>
  </si>
  <si>
    <t>M365 Business Premium implementation services available upon request. Contact Sales Engineering to discuss the scope of services requested and associated pricing.</t>
  </si>
  <si>
    <t>Additional Email Solutions/Services</t>
  </si>
  <si>
    <t>Microsoft Office 365 Add-Ons - Monthly Subscriptions</t>
  </si>
  <si>
    <t>NCE - Exchange Online Archiving for Exchange Online</t>
  </si>
  <si>
    <t>COM-7102</t>
  </si>
  <si>
    <t>NCE - Microsoft Defender for Office 365 (Plan 1)</t>
  </si>
  <si>
    <t>COM-7101</t>
  </si>
  <si>
    <t>Pricing has been updated to reflect month-to-month pricing under Microsoft's new NCE (New Commerce Experience) model</t>
  </si>
  <si>
    <t>Microsoft Office 365 Add-Ons - Annual Subscriptions</t>
  </si>
  <si>
    <t>NCE - Exchange Online Archiving for Exchange Online (AC)</t>
  </si>
  <si>
    <t>COM-7200</t>
  </si>
  <si>
    <t>Annual Recurring</t>
  </si>
  <si>
    <t>NCE - Microsoft Defender for Office 365 (Plan 1) (AC)</t>
  </si>
  <si>
    <t>COM-7202</t>
  </si>
  <si>
    <t>Pricing has been updated to reflect annual pricing under Microsoft's new NCE (New Commerce Experience) model</t>
  </si>
  <si>
    <t>Datto SaaS Protection - M365 &amp; O365 Backup</t>
  </si>
  <si>
    <r>
      <t xml:space="preserve">For a single domain, all licenses must have the same retention period (1 year or Infinite Cloud). </t>
    </r>
    <r>
      <rPr>
        <b/>
        <sz val="10"/>
        <rFont val="Calibri"/>
        <family val="2"/>
      </rPr>
      <t>Our recommendation and standard process is to backup all mailboxes.</t>
    </r>
  </si>
  <si>
    <t>Data Loss Prevention (M365 &amp; O365)</t>
  </si>
  <si>
    <t>Policies</t>
  </si>
  <si>
    <t>DLP, per Policy</t>
  </si>
  <si>
    <t>COM-4950</t>
  </si>
  <si>
    <t>DLP Setup Fee, per Policy</t>
  </si>
  <si>
    <t>COM-9500</t>
  </si>
  <si>
    <t>Huntress</t>
  </si>
  <si>
    <t>Device</t>
  </si>
  <si>
    <t>Huntress per Device</t>
  </si>
  <si>
    <t>SP-31</t>
  </si>
  <si>
    <t>Security Information Event Management (SIEM) and Security Operations Center (SOC) Services</t>
  </si>
  <si>
    <t>RocketCyber</t>
  </si>
  <si>
    <t>Mailbox</t>
  </si>
  <si>
    <t>Cloud Security - monitor Microsoft cloud environments 24x7</t>
  </si>
  <si>
    <t>Endpoint Security  - Server and non-server devices</t>
  </si>
  <si>
    <t>Firewall</t>
  </si>
  <si>
    <t>Network Security</t>
  </si>
  <si>
    <t>Duo MFA</t>
  </si>
  <si>
    <t>Duo MFA License</t>
  </si>
  <si>
    <t>SAS-2100</t>
  </si>
  <si>
    <t>Indicate desired Duo features in green dropdowns below</t>
  </si>
  <si>
    <t>No</t>
  </si>
  <si>
    <t>Duo MFA for VPN</t>
  </si>
  <si>
    <t>SAS-2101</t>
  </si>
  <si>
    <t>Duo MFA for Windows and Mac Login</t>
  </si>
  <si>
    <t>SAS-2102</t>
  </si>
  <si>
    <t>Duo MFA Administrative Login for Windows Servers</t>
  </si>
  <si>
    <t>SAS-2103</t>
  </si>
  <si>
    <t>*Duo MFA Single Sign On for M365 (M365 + 2 apps)</t>
  </si>
  <si>
    <t>SAS-2104</t>
  </si>
  <si>
    <r>
      <rPr>
        <b/>
        <u/>
        <sz val="10"/>
        <color rgb="FFFF0000"/>
        <rFont val="Calibri"/>
        <family val="2"/>
      </rPr>
      <t>Please contact Sales Engineering for assistance in determining quantities.</t>
    </r>
    <r>
      <rPr>
        <b/>
        <u/>
        <sz val="10"/>
        <rFont val="Calibri"/>
        <family val="2"/>
      </rPr>
      <t xml:space="preserve"> </t>
    </r>
    <r>
      <rPr>
        <b/>
        <sz val="10"/>
        <rFont val="Calibri"/>
        <family val="2"/>
      </rPr>
      <t>The quantity of users for each feature will default to the entered license quantity. However, some quantities may be able to be reduced.</t>
    </r>
  </si>
  <si>
    <t>*Single Sign On pricing assumes SSO for M365 plus a maximum 2 apps; contact Sales Engineering for pricing on additional apps</t>
  </si>
  <si>
    <t>Duo MFA for VPN - Setup Fees</t>
  </si>
  <si>
    <t>SAS-9100</t>
  </si>
  <si>
    <t>Duo MFA for Windows and Mac Login - Setup Fees</t>
  </si>
  <si>
    <t>SAS-9101</t>
  </si>
  <si>
    <t>Duo MFA for Administrative Login for Windows Servers - Setup Fees</t>
  </si>
  <si>
    <t>SAS-9102</t>
  </si>
  <si>
    <t>Apps</t>
  </si>
  <si>
    <t>*Duo MFA for Single Sign On for M365 (M365 + 2 apps) - Setup Fees</t>
  </si>
  <si>
    <t>SAS-9103</t>
  </si>
  <si>
    <t>Security Awareness Training</t>
  </si>
  <si>
    <t>Security Awareness Training (Includes Phishing Simulations and Trainings for active users)</t>
  </si>
  <si>
    <t>SAS-2001</t>
  </si>
  <si>
    <t>Security Awareness Training Setup Fee per Subscriber</t>
  </si>
  <si>
    <t>SAS-9201</t>
  </si>
  <si>
    <t>Monthly Minimum, and 12 month commitment are no longer required</t>
  </si>
  <si>
    <t>Dark Web Monitoring</t>
  </si>
  <si>
    <t>Domains</t>
  </si>
  <si>
    <t>Dark Web Monitoring Fee per Domain</t>
  </si>
  <si>
    <t>SAS-1702</t>
  </si>
  <si>
    <t>Dark Web Monitoring Setup Fee per Subscriber</t>
  </si>
  <si>
    <t>SAS-9001</t>
  </si>
  <si>
    <t>LogMeIn</t>
  </si>
  <si>
    <t>LogMeIn per Device</t>
  </si>
  <si>
    <t>RMM-5630</t>
  </si>
  <si>
    <t>LogMeIn Setup Fee per Device</t>
  </si>
  <si>
    <t>RMM-9630</t>
  </si>
  <si>
    <t>Vulnerability and Penetration Testing</t>
  </si>
  <si>
    <t>SEC-9500</t>
  </si>
  <si>
    <t>Email Solution</t>
  </si>
  <si>
    <t>Basic Support</t>
  </si>
  <si>
    <t>Backup Only</t>
  </si>
  <si>
    <t>Additional Offerings</t>
  </si>
  <si>
    <t>UTM Only</t>
  </si>
  <si>
    <t>Basic User Support</t>
  </si>
  <si>
    <t>RMM-4802</t>
  </si>
  <si>
    <t>SD – Ultimate Care Email Only User</t>
  </si>
  <si>
    <t>RMM-4803</t>
  </si>
  <si>
    <t>Setup fee per subscriber</t>
  </si>
  <si>
    <t>RMM-9180</t>
  </si>
  <si>
    <t>Requires 12 month commitment to Service</t>
  </si>
  <si>
    <t>Backup Only - Server Monitoring Agent Fee</t>
  </si>
  <si>
    <t>Server Monitoring Agent Fees</t>
  </si>
  <si>
    <t>RMM-2104</t>
  </si>
  <si>
    <r>
      <t>For each server to be backed up, Collabrance must install an agent for monitoring (</t>
    </r>
    <r>
      <rPr>
        <b/>
        <u/>
        <sz val="9"/>
        <color theme="1"/>
        <rFont val="Calibri"/>
        <family val="2"/>
      </rPr>
      <t>monitoring only</t>
    </r>
    <r>
      <rPr>
        <b/>
        <sz val="10"/>
        <color theme="1"/>
        <rFont val="Calibri"/>
        <family val="2"/>
        <scheme val="minor"/>
      </rPr>
      <t>, no associated server maintenance or remediation)</t>
    </r>
  </si>
  <si>
    <t>Backup Only - Disaster Recovery as a Service (DRaaS)</t>
  </si>
  <si>
    <t>UTM Only - Unified Threat Management Appliances, Wireless Access Points</t>
  </si>
  <si>
    <t>UTM Only - Additional Unified Threat Management Solutions/Services</t>
  </si>
  <si>
    <t>UTM Only - FortiSwitch</t>
  </si>
  <si>
    <t>Total</t>
  </si>
  <si>
    <t>This page can be used to input additional hardware/software needs</t>
  </si>
  <si>
    <t>Below is an example of how you could use this Input Page</t>
  </si>
  <si>
    <t>Enter all Recurring Charges, Setup Fees and Product Costs in the "Other Fees" section of the appropriate tab.</t>
  </si>
  <si>
    <t>Product Description</t>
  </si>
  <si>
    <t>Ext Setup Fees</t>
  </si>
  <si>
    <t>Price</t>
  </si>
  <si>
    <t>Ext Price</t>
  </si>
  <si>
    <t>Recurring Charges (monthly management,…)</t>
  </si>
  <si>
    <t>Ext Recurring Charges</t>
  </si>
  <si>
    <t>Total Setup Fees</t>
  </si>
  <si>
    <t>Total - Other Product Costs</t>
  </si>
  <si>
    <t>Total - Other Recurring Charges</t>
  </si>
  <si>
    <t>Shipping and other one-time charges</t>
  </si>
  <si>
    <t>Fees</t>
  </si>
  <si>
    <t>Ext Fees</t>
  </si>
  <si>
    <t>Total  Fees</t>
  </si>
  <si>
    <t>Total-  Other One-time / Setup Charges</t>
  </si>
  <si>
    <t>*Equipment Pricing valid for 30 days only</t>
  </si>
  <si>
    <t>Totals listed above can be entered on the appropriate ExhibitB tab, in the "Other Fees" section.
(Other Recurring Charges, Other One-time/Setup Charges, Other Product Costs)</t>
  </si>
  <si>
    <t>Provides a brief history of the changes to the Collabrance Pricing Calculator</t>
  </si>
  <si>
    <t>Q4 2024</t>
  </si>
  <si>
    <t>1/1/2025 5% price increase has been canceled</t>
  </si>
  <si>
    <t>Ultimate Care End-User support and previous Standard User Support now include 24/7 Live Answer Help Desk</t>
  </si>
  <si>
    <r>
      <t xml:space="preserve">Change Datto Term Commit to 36-months. </t>
    </r>
    <r>
      <rPr>
        <b/>
        <sz val="11"/>
        <color rgb="FFFF0000"/>
        <rFont val="Calibri"/>
        <family val="2"/>
        <scheme val="minor"/>
      </rPr>
      <t xml:space="preserve">After term commit is fullfilled, if moving to month-to-month service, additional Monthly Fees will apply. </t>
    </r>
  </si>
  <si>
    <t>Added LogMeIn.  Billable for net-new Subscribers on a go forward basis.</t>
  </si>
  <si>
    <t>Added/returned KnowBe4</t>
  </si>
  <si>
    <t>Added/returned ID Agent Dark Web monitoring</t>
  </si>
  <si>
    <t>Added Huntress</t>
  </si>
  <si>
    <t>Added RocketCyber</t>
  </si>
  <si>
    <t>Removed SaaSAlerts</t>
  </si>
  <si>
    <t>Removed Proofpoint</t>
  </si>
  <si>
    <t>Q3 2024</t>
  </si>
  <si>
    <t>Remove the "Committment auto renews for additional 12 mo term and requires 60 days notice to cancel" from Siris DRaaS products</t>
  </si>
  <si>
    <t xml:space="preserve">     We can renew for another year at no price increase, or go month to month with a 15% increase.</t>
  </si>
  <si>
    <t>Fix the Datto Setup Fee on the NOC services tab</t>
  </si>
  <si>
    <t>Fix non-collabrance owned switch setup fee - It's not automatically charging the setup fee when you add 1 to line 246</t>
  </si>
  <si>
    <t>Q2 2024</t>
  </si>
  <si>
    <t>Removed KnowBe4. Collabrance will continue to support existing subscribers of this offering until February 2025.</t>
  </si>
  <si>
    <t>Added Management Only fees for all Fortinet product.</t>
  </si>
  <si>
    <t>Added Setup fee for UTM Management Only.</t>
  </si>
  <si>
    <t>Added Datto products commit and commit renewals.</t>
  </si>
  <si>
    <t>Removed Microsoft Azure Information Protection (AIP) as Microsoft has discontinued this product.</t>
  </si>
  <si>
    <t>Removed Disk Encryption. Solution still available, simply included in the User Support fee.</t>
  </si>
  <si>
    <t>Removed Basic Printer Support.</t>
  </si>
  <si>
    <t>Removed Dark Web Monitoring. Collabrance will continue to support existing subscribers of this offering until July 2025.</t>
  </si>
  <si>
    <t>Removed Password Management. Collabrance will continue to support existing subscribers of this offering until February 2025.</t>
  </si>
  <si>
    <t>Removed Barracuda SIEM/SOC. Collabrance will continue to support existing subscribers until individual contract expiration.</t>
  </si>
  <si>
    <t>Add "Target Service Start Date" to top of each tab.</t>
  </si>
  <si>
    <t>Q1 2024</t>
  </si>
  <si>
    <t>The monthly ConnectWise Service Provider fee of $35 will increase to $45 (due to vendor price increase). This line item is not listed on the Pricing Calculator</t>
  </si>
  <si>
    <t>All products received 5% price increase</t>
  </si>
  <si>
    <t>SaaS Alerts back on the NOC+SD tab at $3.00 price</t>
  </si>
  <si>
    <t>Fortinet - Removed the FortiGate 100F and adding in the FortiGate 90G</t>
  </si>
  <si>
    <t>Vul/Pen testing removed</t>
  </si>
  <si>
    <t>Basic Print Support added to the Additional Offerings tab</t>
  </si>
  <si>
    <t>Q4 2023</t>
  </si>
  <si>
    <t>Removed SaaS Alerts - contact Sales/Sales Engineering with your specific opportunity</t>
  </si>
  <si>
    <t>Removed the FortiGate 200F - still available if/as needed</t>
  </si>
  <si>
    <t>Reduced Datto SIRIS appliance discount back to normal 10% discount with 12-month commit</t>
  </si>
  <si>
    <t>Reduce Datto SaaS Protection ICR to $4.00</t>
  </si>
  <si>
    <t>Q3 2023</t>
  </si>
  <si>
    <t>Updated Datto Cloud Continuity for PC's as it now requires a 1 year commitment to service</t>
  </si>
  <si>
    <t>Added the Fortinet 124 &amp; 148 POE and FPOE switches due to popularity and availability</t>
  </si>
  <si>
    <t>Removed the Fortinet 400 series switches</t>
  </si>
  <si>
    <t>Q2 2023</t>
  </si>
  <si>
    <t>Includes SentinelOne EDR in our core NOC, and NOC+Service Desk offerings (no AV)</t>
  </si>
  <si>
    <t>MSRP Retail Calculator (tab) has been revamped to allow you to customize your Gross Margin on a per product category</t>
  </si>
  <si>
    <t xml:space="preserve">     Support Services field on MSRP Retail Calculator includes User, Workstation, and Server costs depending on the offering selected</t>
  </si>
  <si>
    <t>Updated Basic User Support description - Requires 12 month commitment to service</t>
  </si>
  <si>
    <t>Added SaaS Alerts real time monitoring for M/O365</t>
  </si>
  <si>
    <t>Added the new Fortinet G series Access Points that support the 6Ghz frequency</t>
  </si>
  <si>
    <t>Updated description in existing Fortinet Access Point product lines to reflect frequencies used</t>
  </si>
  <si>
    <t>Modified pricing on Datto SaaS Protection based off Datto's January 1st price increase</t>
  </si>
  <si>
    <t>Removed Nuspire SIEM/SOC services offering.  Collabrance will continue to support existing subscribers of this offering</t>
  </si>
  <si>
    <t>Add City and State fields to customer information section</t>
  </si>
  <si>
    <t xml:space="preserve">BUS Term Agreement - add to NOTES section </t>
  </si>
  <si>
    <t>Q1 2023</t>
  </si>
  <si>
    <t>Renamed Service Desk Only offering to Basic User Support</t>
  </si>
  <si>
    <t>Updated User, Workstation, Server and Mobile Email Only pricing to reflect price increase that take effect April 1st (so that new business can be quoted at new pricing levels)</t>
  </si>
  <si>
    <t>Updated User, Workstation, Server and Mobile Email Only part numbers in conjunction with updated pricing (that takes effect April 1st)</t>
  </si>
  <si>
    <t>Added Red BOLD header on NOC Services, NOC+Service Desk and Additional Offering to reflect above changes</t>
  </si>
  <si>
    <t>Q4 2022</t>
  </si>
  <si>
    <t>Security Awareness Training - removed monthly minimum, removed monthly commitment, reduced setup fee to $150.</t>
  </si>
  <si>
    <t>Added Microsoft Annual subscription pricing</t>
  </si>
  <si>
    <t>Modified pricing on some models of FortiGates based off Fortinet's September price increases</t>
  </si>
  <si>
    <t>Modification - Added Barracuda XDR family of SIEM &amp; SOC services (formerly the SKOUT SIEM &amp; SOC Services offering)</t>
  </si>
  <si>
    <t>Q3 2022</t>
  </si>
  <si>
    <t>Unchanged from Mid-Q2 version released on 6/1/22</t>
  </si>
  <si>
    <t>Mid-Q2 2022 (Released 6/1/2022)</t>
  </si>
  <si>
    <t>Modified User pricing for NOC+Service Desk and Service Desk Only</t>
  </si>
  <si>
    <t>Updated Backup and Disaster Recovery section for the new lineup of Datto products</t>
  </si>
  <si>
    <t>Overhauled inputs/formulas for greater flexibility when ordering Duo MFA product offerings</t>
  </si>
  <si>
    <t xml:space="preserve">Modified pricing for Proofpoint Mail Filtering for On Premise Exchange Server and Microsoft Office 365 due to a supplier price increase </t>
  </si>
  <si>
    <t>Q2 2022</t>
  </si>
  <si>
    <t>Added Duo MFA product offerings</t>
  </si>
  <si>
    <t>Modified Microsoft pricing and SKU's to account for NCE implementation</t>
  </si>
  <si>
    <t>Modified pricing for Fortinet products based on price increases by Fortinet</t>
  </si>
  <si>
    <t>Removed Microsoft Visio and Microsoft Project</t>
  </si>
  <si>
    <t>Q1 2022</t>
  </si>
  <si>
    <t>Removed term commitment requirement for Siris 4X, Per Agent appliances</t>
  </si>
  <si>
    <t>Added dropdowns to indicate whether Named Files Cloud Backup should be automatically deployed on laptops and/or desktops  as they're added to the network</t>
  </si>
  <si>
    <t>Modified pricing for M365 Business Basic, M365 Business Premium, O365 E1, O365 E3, O365 E5 based on price increase Microsoft is implementing in Q1</t>
  </si>
  <si>
    <t>Modified pricing for FortiSwitches based on the price increase Fortinet implemented in Q4</t>
  </si>
  <si>
    <t>Added notes for SKOUT offerings regarding sensor requirement and cost, as well as no proration in first month of service</t>
  </si>
  <si>
    <t>Mid-Q4 2021 (Released 11/15/2021)</t>
  </si>
  <si>
    <t>Added promotional appliance pricing for qualifying Datto products with 12 or 36 month service term commitment</t>
  </si>
  <si>
    <t>Q4 2021</t>
  </si>
  <si>
    <t>Added SKOUT SIEM and SOC product line</t>
  </si>
  <si>
    <t>Removed Datto hardware promos that were available in prior quarter</t>
  </si>
  <si>
    <t>Added estimates for S&amp;H</t>
  </si>
  <si>
    <t>Modified pricing for FortiGates and FortiSwitches based on Fortinet's price increase that they implemented in Q3</t>
  </si>
  <si>
    <r>
      <t xml:space="preserve">Added verbiage to email section, again notifying Service Providers of price increase effective 3/1/22 for all </t>
    </r>
    <r>
      <rPr>
        <u/>
        <sz val="11"/>
        <rFont val="Calibri"/>
        <family val="2"/>
      </rPr>
      <t>existing</t>
    </r>
    <r>
      <rPr>
        <sz val="11"/>
        <rFont val="Calibri"/>
        <family val="2"/>
        <scheme val="minor"/>
      </rPr>
      <t xml:space="preserve"> licenses for specified Microsoft products</t>
    </r>
  </si>
  <si>
    <t>Added verbiage to UTM and Switch sections, again notifying Service Providers of supply chain constraints</t>
  </si>
  <si>
    <t>Added verbiage related to recommendation and standard process of backing up all mailboxes if Datto SaaS is purchased</t>
  </si>
  <si>
    <t>Q3 2021</t>
  </si>
  <si>
    <t>Datto $0 hardware promo with 36 month commit (only eligible if the subscriber does not currently have a Datto backup)</t>
  </si>
  <si>
    <t xml:space="preserve">Implemented new standard pricing for EDR (equal to the promo pricing from recent quarters at $7.00/user with NOC + Service Desk or $5.50/workstation with NOC Services) </t>
  </si>
  <si>
    <t>Removed FortiGate 30E, Fortinet has no plans to upgrade the 30E to a 30F (at least in 2021)</t>
  </si>
  <si>
    <t>Added the FortiGate 40F as an upgrade/replacement for the 30E; same price, faster and supports 8 APs</t>
  </si>
  <si>
    <t>FortiGate 60F SOC chipset with new FortiOS now supports maximum 32 APs</t>
  </si>
  <si>
    <t>FortiGate 80F SOC chipset with new FortiOS now supports maximum 48 APs</t>
  </si>
  <si>
    <t>Removed FortiGate 100E &amp; 200E. While not officially EOS, they have been removed from the Fortinet website.  Expecting EOS announcement soon.</t>
  </si>
  <si>
    <t>Added the FortiGate 200F.  SOC chipset with new FortiOS now supports a maximum of 128 APs.</t>
  </si>
  <si>
    <t>Updated description under Additional UTM Solutions &gt; Site to Site Fortinet VPN setup: Specified that s2s vpn setups for Collabrance managed FortiGates are $50, and all others are hourly billable</t>
  </si>
  <si>
    <t>Q2 2021</t>
  </si>
  <si>
    <t>Split legacy core offering into a NOC Services offering and a NOC+Service Desk offering</t>
  </si>
  <si>
    <t>Discontinued 10% All-in  Complete Discount</t>
  </si>
  <si>
    <t>Incorporated Service Provider Incentive Program discount pricing</t>
  </si>
  <si>
    <t>Removed UTM Labor from user pricing, and embedded it within FortiGate pricing (i.e. FortiGate pricing now includes device rental -and- management)</t>
  </si>
  <si>
    <t>Eliminated $350 per location setup fee, and now have setup fees tied specifically to products being ordered</t>
  </si>
  <si>
    <t>Added Service Desk Only, UTM Only, and Backup Only offerings to calculator -- see "Additional Offerings (ExhibitB)" tab</t>
  </si>
  <si>
    <t>Remove Fortinet 321E and 421E Access Points - End of Sale</t>
  </si>
  <si>
    <t>Add Fortinet WiFi6 Access Points - 231F and 431F</t>
  </si>
  <si>
    <t>Remove the Datto S3-X4 - End of Life</t>
  </si>
  <si>
    <t>Added Fortinet GPI-130 POE+ (802.3at) injector</t>
  </si>
  <si>
    <t>Updated FortiSwitch POE+ power budget matrix</t>
  </si>
  <si>
    <t>Updated Email Matrix</t>
  </si>
  <si>
    <t>Name change - Microsoft Defender for Office 365 (Plan 1) (formerly Office 365 Advanced Threat Protection (Plan 1)</t>
  </si>
  <si>
    <t>Q1 2021</t>
  </si>
  <si>
    <t>Increased pricing on File-level Cloud Backup for Servers</t>
  </si>
  <si>
    <t>Updated M/O365 Matrix</t>
  </si>
  <si>
    <t>Microsoft 365 Business Premium implementation services available upon request.  Contact Sales Engineering to discuss the scope of services requested and associated pricing.</t>
  </si>
  <si>
    <t>Added Fortinet FortiSwitch FS-148</t>
  </si>
  <si>
    <t>Updated UTM User Based Reporting description - not AAD compatible (at this time)</t>
  </si>
  <si>
    <t>Q1 promo pricing for EDR</t>
  </si>
  <si>
    <t>Q4 2020</t>
  </si>
  <si>
    <t>Added Microsoft 365 (M365) Business Premium</t>
  </si>
  <si>
    <t>Updated M365 &amp; O365 Licenses matrix to include M365 BP</t>
  </si>
  <si>
    <t>Added Datto's Cloud Continuity for PC's</t>
  </si>
  <si>
    <t>Replaced Fortinet FortiGate 80E with Fortinet FortiGate 80F</t>
  </si>
  <si>
    <t>Increased pricing for Basic Messaging Filtering &amp; Continuity</t>
  </si>
  <si>
    <t>Q3 2020</t>
  </si>
  <si>
    <t>Removed "Complete" naming convention from User and Server Support section</t>
  </si>
  <si>
    <t>Removed Fortinet FortiAP 320C - End of Sale announced</t>
  </si>
  <si>
    <t>Added Fortinet FortiAP 421E - Wave2, 4x4, high density</t>
  </si>
  <si>
    <t>Removed Fortinet AC Power Adaptor - still available for purchase as needed; pricing varies by model</t>
  </si>
  <si>
    <t>Added SIEM/SOC services for FortiGate 600 - 1000 and VM02 series devices</t>
  </si>
  <si>
    <t>Updated Datto SaaS Protection, now simple Per User pricing</t>
  </si>
  <si>
    <t>Mid Q2 2020</t>
  </si>
  <si>
    <t>Microsoft Office 365 name changes, as of April 21st:</t>
  </si>
  <si>
    <t xml:space="preserve">     Microsoft Office 365 Business Essentials is now Microsoft 365 (M365) Business Basic</t>
  </si>
  <si>
    <t xml:space="preserve">     Microsoft Office 365 Business Premium is now Microsoft 365 (M365) Business Standard </t>
  </si>
  <si>
    <t>Q2 2020</t>
  </si>
  <si>
    <t>Removed User count guidance from Fortinet FortiGate UTM appliances</t>
  </si>
  <si>
    <t>Replaced Fortinet FortiGate 60E with Fortinet FortiGate 60F</t>
  </si>
  <si>
    <t>Replaced Fortinet FortiAP 321C with Fortinet FortiAP 321E (Wave2)</t>
  </si>
  <si>
    <t>Added the Fortinet FortiGate 100F UTM</t>
  </si>
  <si>
    <t>Removed Intermedia product line and add-ons from Pricing Calculator; product line is still available for existing subscribers</t>
  </si>
  <si>
    <t>Q1 2020</t>
  </si>
  <si>
    <t>Updated Datto Siris line.  Datto Siris 4 Business released</t>
  </si>
  <si>
    <t>Removed Datto Siris Business 500, product discontinued</t>
  </si>
  <si>
    <t>Added SolarWinds File-Level Cloud Backup for Servers</t>
  </si>
  <si>
    <t>Removed Datto NAS 3 Value, product discontinued</t>
  </si>
  <si>
    <t>Removed Datto NAS 3 Professional, product discontinued</t>
  </si>
  <si>
    <t>Added Datto NAS 4 X and NAS 4 Professional line</t>
  </si>
  <si>
    <t>Email Solution &gt; Setup Fees:  added description that there are no setup fees for an O365 tenant transfer</t>
  </si>
  <si>
    <t>Added verbiage to O365 comparison chart - not all features and functions are supported by the Service Desk</t>
  </si>
  <si>
    <t>Added setup fee for Dark Web Monitoring</t>
  </si>
  <si>
    <t>Added the following Elective Offerings, items from the Cyber Security Bundle</t>
  </si>
  <si>
    <t>Password Management</t>
  </si>
  <si>
    <t>Endpoint Detection and Response</t>
  </si>
  <si>
    <t>Disk Encryption</t>
  </si>
  <si>
    <t>Data Loss Prevention</t>
  </si>
  <si>
    <t>Q4 2019</t>
  </si>
  <si>
    <t>Removed Public Folders from email migration pricing</t>
  </si>
  <si>
    <t>Added 12 month term commitment for Security Awareness Training</t>
  </si>
  <si>
    <t>Added Dark Web Monitoring</t>
  </si>
  <si>
    <t>Q3 2019</t>
  </si>
  <si>
    <t>Added Cyber Security Bundle</t>
  </si>
  <si>
    <t>Updated Datto Siris line.  Datto Siris 4 and Siris 4X released</t>
  </si>
  <si>
    <t>Removed Datto Siris P1000, product discontinued</t>
  </si>
  <si>
    <t>Removed File Synchronization, still available, contact Collabrance</t>
  </si>
  <si>
    <t>Removed Federated Skype, still available, contact Collabrance</t>
  </si>
  <si>
    <t>Removed Point in Time, still available, contact Collabrance</t>
  </si>
  <si>
    <t>Removed Datto Enterprise options; still available, contact Collabrance</t>
  </si>
  <si>
    <t>Q2 2019</t>
  </si>
  <si>
    <t>Updated FortiGate descriptions to include throughput and maximum number of supported APs</t>
  </si>
  <si>
    <t>Updated FortiSwitch descriptions to include SFP and Power Supply details</t>
  </si>
  <si>
    <t>Updated O365 Plan Matrix</t>
  </si>
  <si>
    <t>Added descriptions to O365 Add-Ons</t>
  </si>
  <si>
    <t>Removed O365 Add-On matrix</t>
  </si>
  <si>
    <t>Added File Sync, Server option</t>
  </si>
  <si>
    <t>Updated Security Awareness Training setup fees &amp; monthly minimum</t>
  </si>
  <si>
    <t>Adjusted SIEM with SOC Services options &amp; pricing</t>
  </si>
  <si>
    <t>Q1 2019</t>
  </si>
  <si>
    <t>Added Microsoft Office 365 Enterprise E5 licensing</t>
  </si>
  <si>
    <t>Expanded O365 Feature set matrix to reflect additional services/offerings</t>
  </si>
  <si>
    <t>Microsoft O365 Add-Ons are now from Microsoft (no longer from Intermedia)</t>
  </si>
  <si>
    <t>FortiSwitch price change</t>
  </si>
  <si>
    <t>Lease Factor rate removed from MSRP Retail Calculator (tab)</t>
  </si>
  <si>
    <r>
      <t xml:space="preserve">Added additional verbiage on FortiTokenMobile User Support, per User </t>
    </r>
    <r>
      <rPr>
        <b/>
        <sz val="11"/>
        <rFont val="Calibri"/>
        <family val="2"/>
        <scheme val="minor"/>
      </rPr>
      <t>(for vpn remote access only)</t>
    </r>
  </si>
  <si>
    <t>Removed VUL/PEN pricing - Contact Collabrance to discuss opportunities</t>
  </si>
  <si>
    <t>Added additional tab to input additional hardware/software to link into MSRP Retail Tab</t>
  </si>
  <si>
    <t>Q4 2018</t>
  </si>
  <si>
    <t>Added Pricing for 24x7 User Support</t>
  </si>
  <si>
    <t>Updated FortiGate UTM Pricing</t>
  </si>
  <si>
    <t>Removed FortiAP 221C - End of Life</t>
  </si>
  <si>
    <t>Added FortiAP 221E Wave2</t>
  </si>
  <si>
    <t>Added additional verbiage on Datto NAS product line (warranty, upgradability, total capacity,..)</t>
  </si>
  <si>
    <t>Added additional verbiage on File Level Cloud Backup (added "ONLY (Server OS not supported)"</t>
  </si>
  <si>
    <t>Added Security Awareness Training (Separate Order Form)</t>
  </si>
  <si>
    <t>Added Datto SaaS for Email Backup</t>
  </si>
  <si>
    <t>Added Mail Filtering for O365</t>
  </si>
  <si>
    <t>Q3 2018</t>
  </si>
  <si>
    <t>Added Vulnerability &amp; Penetration Testing (VUL/PEN)</t>
  </si>
  <si>
    <t>Added Security Information Event Management (SIEM)</t>
  </si>
  <si>
    <t>Added SolarWinds Workstation Backup - File Level Cloud Backup</t>
  </si>
  <si>
    <t>Added SolarWinds Documents Backup (Named Documents)</t>
  </si>
  <si>
    <t>Removed Intronis File Level Cloud Backup</t>
  </si>
  <si>
    <t>Adjusted Pricing for Web Content Filtering</t>
  </si>
  <si>
    <t>Adjusted Pricing for User Based Reporting</t>
  </si>
  <si>
    <t>Added hourly calculation in MSRP Tab to help with value justification</t>
  </si>
  <si>
    <t>Q2 2018</t>
  </si>
  <si>
    <t>Replaced FortiGate 90 with FortiGate 80</t>
  </si>
  <si>
    <t>Added FortiGate 200, up to 200 Users</t>
  </si>
  <si>
    <t xml:space="preserve">Removed FortiSwitch 80 </t>
  </si>
  <si>
    <t>Removed FortiSwitch model designation, also many changes to the FortiSwitch product lineup</t>
  </si>
  <si>
    <t>FortiSwitches - updated descriptions and power budgets</t>
  </si>
  <si>
    <t>Changed Email Migration setup fees</t>
  </si>
  <si>
    <t>Added 5 port Wattbox</t>
  </si>
  <si>
    <t>Added additional note in notes section to identify orders with mobile mailboxes but not mobile mail only support</t>
  </si>
  <si>
    <t>Added additional note in notes section to identify orders under $500; if addition or not complete deal, you can ignore</t>
  </si>
  <si>
    <t>Q1 2018</t>
  </si>
  <si>
    <t>Added Language regarding workgroup environments in complete user support section</t>
  </si>
  <si>
    <t>Mobile Mail Only User Name Change &amp; Price increase to $5.50</t>
  </si>
  <si>
    <t>Added input section for other/larger Datto devices to be included in BDR &amp; NAS sections</t>
  </si>
  <si>
    <t>Updated Switch descriptions</t>
  </si>
  <si>
    <t>Removed Email Continuity O365 Add-On</t>
  </si>
  <si>
    <t>Q4 2017</t>
  </si>
  <si>
    <t>Removed FortiAP 24D</t>
  </si>
  <si>
    <t>Removed Order Form tab, all pricing &amp; notes located on Exhibit B Input tab</t>
  </si>
  <si>
    <t>Removed HaaP &amp; IaaS pricing &amp; tabs - Contact Collabrance Sales Engineering to discuss the opportunity</t>
  </si>
  <si>
    <t>Added O365 Add-on: Visio Pro</t>
  </si>
  <si>
    <t>Added O365 Add-on: Project Online Pro</t>
  </si>
  <si>
    <t>Q3 2017</t>
  </si>
  <si>
    <t>Added new Datto ALTO 3 product line (replaces the discontinued Datto ALTO LT and XL product lines)</t>
  </si>
  <si>
    <t>Added expanded Datto Siris "X" (all-Flash) product line</t>
  </si>
  <si>
    <t>Added expanded Datto NAS (all-Flash) product line</t>
  </si>
  <si>
    <t>Added 2 Factor Authentication (2FA) - Fortinet FortiTokenMobile</t>
  </si>
  <si>
    <t>Reduced pricing for Fortinet FortiSwitches</t>
  </si>
  <si>
    <t>Added O365 Add-Ons Matrix (ex add email Continuity to O365 + Email Encryption bundle)</t>
  </si>
  <si>
    <t>Added UTM and BDR setup fees for after go-live activation period</t>
  </si>
  <si>
    <t>Expanded Exhibit B Pricing Sections</t>
  </si>
  <si>
    <t>Q2 2017</t>
  </si>
  <si>
    <t>Added "Changes" tab to the Pricing Calculator</t>
  </si>
  <si>
    <t>Added additional O365 option - O365 with no Intermedia bundled Add-Ons</t>
  </si>
  <si>
    <r>
      <t xml:space="preserve">Added/bundled WattBox with all new FortiGate devices, </t>
    </r>
    <r>
      <rPr>
        <b/>
        <sz val="11"/>
        <color theme="1"/>
        <rFont val="Calibri"/>
        <family val="2"/>
        <scheme val="minor"/>
      </rPr>
      <t xml:space="preserve">NOTE </t>
    </r>
    <r>
      <rPr>
        <sz val="11"/>
        <color theme="1"/>
        <rFont val="Calibri"/>
        <family val="2"/>
        <scheme val="minor"/>
      </rPr>
      <t>subsequent price increase of bundle</t>
    </r>
  </si>
  <si>
    <t>Added WattBox to the Elective Offerings.</t>
  </si>
  <si>
    <t>Added wording "wall mount" &amp; "limited coverage" for FortiAP 24D - to reflect RF pattern and limited antenna power &amp; gain</t>
  </si>
  <si>
    <t>Added wording to FortiAP 221C, 321C &amp; 320C to reflect radios and streams in each unit</t>
  </si>
  <si>
    <t>Q1 2017</t>
  </si>
  <si>
    <t>Added Microsoft Office 365 (O365)</t>
  </si>
  <si>
    <t>Added Infrastructure as a Service (IaaS)</t>
  </si>
  <si>
    <t>Added notification that Datto Alto Per Agent requires minimum 1 year service commitment.</t>
  </si>
  <si>
    <t>Added Datto Infinite Cloud Retention</t>
  </si>
  <si>
    <t>Added FortiGate 100 UTM</t>
  </si>
  <si>
    <t>Added FortiSwitches</t>
  </si>
  <si>
    <t>Added new Datto NAS 3 (part numbers, appliance fees &amp; monthly fees (mid quarter))</t>
  </si>
  <si>
    <t>Added Datto Siris 3 X2 (mid quarter)</t>
  </si>
  <si>
    <t>Q4 2016</t>
  </si>
  <si>
    <t>Added Hardware as a Project (HaaP)</t>
  </si>
  <si>
    <t>Added new Datto Siris 3 X1</t>
  </si>
  <si>
    <t>Added Datto NAS line</t>
  </si>
  <si>
    <t>Replaced FortiWiFi UTM with FortiGate UTM</t>
  </si>
  <si>
    <t>Added new Fortinet Access Points</t>
  </si>
  <si>
    <t>Added Access Point power injector &amp; AC adapter options</t>
  </si>
  <si>
    <t>Q3 2016</t>
  </si>
  <si>
    <t>Added changes to Datto Siris lineup</t>
  </si>
  <si>
    <t>Q2 2016</t>
  </si>
  <si>
    <t>Reintroduced Datto Alto series</t>
  </si>
  <si>
    <t>Retail Calculator</t>
  </si>
  <si>
    <t>Users (Workstations for NOC)</t>
  </si>
  <si>
    <t>Warning</t>
  </si>
  <si>
    <t>Populated?</t>
  </si>
  <si>
    <t>Datto Service Term Commitment Discounts - Dropdowns</t>
  </si>
  <si>
    <t xml:space="preserve">Datto Service Term Commitment Discounts - Dropdowns </t>
  </si>
  <si>
    <t>No Commit</t>
  </si>
  <si>
    <t>12 Months</t>
  </si>
  <si>
    <t>12 Months (Promo)</t>
  </si>
  <si>
    <t>36 Months</t>
  </si>
  <si>
    <t>36 Months (Promo)</t>
  </si>
  <si>
    <t>Datto Service Term Commitment Discounts - Addendum</t>
  </si>
  <si>
    <t>12 Month</t>
  </si>
  <si>
    <t>36 Month</t>
  </si>
  <si>
    <t>NOC + Service Desk</t>
  </si>
  <si>
    <t>User Support Hours</t>
  </si>
  <si>
    <t>Standard (7am - 7pm CST)</t>
  </si>
  <si>
    <t>24x7</t>
  </si>
  <si>
    <t>Offering Type</t>
  </si>
  <si>
    <t>*LEAVE BLANK ROW --&gt;</t>
  </si>
  <si>
    <t>Net New</t>
  </si>
  <si>
    <t>(Customer is new to the MSP and to Collabrance)</t>
  </si>
  <si>
    <t>Migration</t>
  </si>
  <si>
    <t>(Migrating MSP's existing customer to Collabrance)</t>
  </si>
  <si>
    <t>Addition</t>
  </si>
  <si>
    <t>(Adding service(s) to a current Collabrance subscriber)</t>
  </si>
  <si>
    <t>Retention</t>
  </si>
  <si>
    <t>Yes or No?</t>
  </si>
  <si>
    <t>Fortigate (per SKU)</t>
  </si>
  <si>
    <t>AP (per SKU)</t>
  </si>
  <si>
    <t>Switch (per SKU)</t>
  </si>
  <si>
    <t>POE Injector (per SKU)</t>
  </si>
  <si>
    <t>Wattbox (per SKU)</t>
  </si>
  <si>
    <t>Select Environment Type</t>
  </si>
  <si>
    <t>AD (Active Directory)</t>
  </si>
  <si>
    <t>AAD (Azure Active Directory)</t>
  </si>
  <si>
    <t>Workgroup (No AD or AAD)</t>
  </si>
  <si>
    <t>Support</t>
  </si>
  <si>
    <t>Siris 5X Desktop Appliances</t>
  </si>
  <si>
    <t>Sku</t>
  </si>
  <si>
    <t>Model</t>
  </si>
  <si>
    <t>12 months</t>
  </si>
  <si>
    <t>36 months</t>
  </si>
  <si>
    <t>DPR-2900</t>
  </si>
  <si>
    <t>S5X: 2TB capacity, Solid State not upgradable, with 1 Agent</t>
  </si>
  <si>
    <t>DPR-2901</t>
  </si>
  <si>
    <t>DPR-2902</t>
  </si>
  <si>
    <t xml:space="preserve">Siris 5 </t>
  </si>
  <si>
    <t>12 mo</t>
  </si>
  <si>
    <t>36 mo</t>
  </si>
  <si>
    <t>DPR-2903</t>
  </si>
  <si>
    <t>DPR-2904</t>
  </si>
  <si>
    <t>DPR-2905</t>
  </si>
  <si>
    <t>DPR-2906</t>
  </si>
  <si>
    <t>DPR-2907</t>
  </si>
  <si>
    <t>DPR-2908</t>
  </si>
  <si>
    <t>DPR-2909</t>
  </si>
  <si>
    <t>DPR-2910</t>
  </si>
  <si>
    <t>DPR-2911</t>
  </si>
  <si>
    <t>DPR-2912</t>
  </si>
  <si>
    <t>DPR-2913</t>
  </si>
  <si>
    <t>DPR-2914</t>
  </si>
  <si>
    <t>DPR-2915</t>
  </si>
  <si>
    <t>DPR-2916</t>
  </si>
  <si>
    <t>DPR-2917</t>
  </si>
  <si>
    <t>DPR-2918</t>
  </si>
  <si>
    <t>S5 - 12TB capacity, field upgradable to 18TB</t>
  </si>
  <si>
    <t>DPR-2919</t>
  </si>
  <si>
    <t>DPR-2920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</si>
</sst>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_);[Red]\(&quot;$&quot;#,##0\)"/>
    <numFmt numFmtId="8" formatCode="&quot;$&quot;#,##0.00_);[Red]\(&quot;$&quot;#,##0.00\)"/>
    <numFmt numFmtId="44" formatCode="_(&quot;$&quot;* #,##0.00_);_(&quot;$&quot;* \(#,##0.00\);_(&quot;$&quot;* &quot;-&quot;??_);_(@_)"/>
    <numFmt numFmtId="43" formatCode="_(* #,##0.00_);_(* \(#,##0.00\);_(* &quot;-&quot;??_);_(@_)"/>
    <numFmt numFmtId="164" formatCode="_(* #,##0.0_);_(* \(#,##0.0\);_(* &quot;-&quot;??_);_(@_)"/>
    <numFmt numFmtId="165" formatCode="_(* #,##0.0000_);_(* \(#,##0.0000\);_(* &quot;-&quot;??_);_(@_)"/>
    <numFmt numFmtId="166" formatCode="_(* #,##0_);_(* \(#,##0\);_(* &quot;-&quot;??_);_(@_)"/>
    <numFmt numFmtId="167" formatCode="&quot;$&quot;#,##0.00"/>
    <numFmt numFmtId="168" formatCode="_(&quot;$&quot;* #,##0_);_(&quot;$&quot;* \(#,##0\);_(&quot;$&quot;* &quot;-&quot;??_);_(@_)"/>
  </numFmts>
  <fonts count="74"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sz val="20"/>
      <color theme="1"/>
      <name val="Calibri"/>
      <family val="2"/>
      <scheme val="minor"/>
    </font>
    <font>
      <sz val="9"/>
      <color theme="1"/>
      <name val="Calibri"/>
      <family val="2"/>
    </font>
    <font>
      <sz val="11"/>
      <color theme="0" tint="-4.9989318521683403E-2"/>
      <name val="Calibri"/>
      <family val="2"/>
      <scheme val="minor"/>
    </font>
    <font>
      <sz val="8"/>
      <color theme="1"/>
      <name val="Calibri"/>
      <family val="2"/>
      <scheme val="minor"/>
    </font>
    <font>
      <b/>
      <sz val="20"/>
      <color rgb="FF0070C0"/>
      <name val="Calibri"/>
      <family val="2"/>
      <scheme val="minor"/>
    </font>
    <font>
      <b/>
      <sz val="14"/>
      <color theme="1"/>
      <name val="Calibri"/>
      <family val="2"/>
      <scheme val="minor"/>
    </font>
    <font>
      <b/>
      <sz val="12"/>
      <color theme="1"/>
      <name val="Calibri"/>
      <family val="2"/>
      <scheme val="minor"/>
    </font>
    <font>
      <sz val="14"/>
      <color theme="1"/>
      <name val="Calibri"/>
      <family val="2"/>
      <scheme val="minor"/>
    </font>
    <font>
      <sz val="10"/>
      <color rgb="FF0070C0"/>
      <name val="Calibri"/>
      <family val="2"/>
      <scheme val="minor"/>
    </font>
    <font>
      <sz val="10"/>
      <color theme="0"/>
      <name val="Calibri"/>
      <family val="2"/>
      <scheme val="minor"/>
    </font>
    <font>
      <sz val="10"/>
      <color theme="1"/>
      <name val="Calibri"/>
      <family val="2"/>
      <scheme val="minor"/>
    </font>
    <font>
      <b/>
      <sz val="12"/>
      <color theme="0"/>
      <name val="Calibri"/>
      <family val="2"/>
      <scheme val="minor"/>
    </font>
    <font>
      <b/>
      <sz val="10"/>
      <color theme="0"/>
      <name val="Calibri"/>
      <family val="2"/>
      <scheme val="minor"/>
    </font>
    <font>
      <b/>
      <sz val="12"/>
      <color rgb="FF0070C0"/>
      <name val="Calibri"/>
      <family val="2"/>
      <scheme val="minor"/>
    </font>
    <font>
      <b/>
      <sz val="10"/>
      <color rgb="FF0070C0"/>
      <name val="Calibri"/>
      <family val="2"/>
      <scheme val="minor"/>
    </font>
    <font>
      <b/>
      <sz val="10"/>
      <color rgb="FFFF0000"/>
      <name val="Calibri"/>
      <family val="2"/>
      <scheme val="minor"/>
    </font>
    <font>
      <sz val="10"/>
      <name val="Calibri"/>
      <family val="2"/>
      <scheme val="minor"/>
    </font>
    <font>
      <b/>
      <sz val="10"/>
      <name val="Calibri"/>
      <family val="2"/>
      <scheme val="minor"/>
    </font>
    <font>
      <b/>
      <sz val="10"/>
      <color theme="1"/>
      <name val="Calibri"/>
      <family val="2"/>
      <scheme val="minor"/>
    </font>
    <font>
      <b/>
      <u/>
      <sz val="11"/>
      <name val="Calibri"/>
      <family val="2"/>
      <scheme val="minor"/>
    </font>
    <font>
      <sz val="10"/>
      <color rgb="FFFF0000"/>
      <name val="Calibri"/>
      <family val="2"/>
      <scheme val="minor"/>
    </font>
    <font>
      <sz val="11"/>
      <name val="Calibri"/>
      <family val="2"/>
      <scheme val="minor"/>
    </font>
    <font>
      <b/>
      <sz val="10"/>
      <name val="Calibri"/>
      <family val="2"/>
    </font>
    <font>
      <sz val="10"/>
      <name val="Calibri"/>
      <family val="2"/>
    </font>
    <font>
      <b/>
      <sz val="12"/>
      <name val="Calibri"/>
      <family val="2"/>
      <scheme val="minor"/>
    </font>
    <font>
      <i/>
      <sz val="10"/>
      <name val="Calibri"/>
      <family val="2"/>
      <scheme val="minor"/>
    </font>
    <font>
      <sz val="10"/>
      <color rgb="FF000000"/>
      <name val="Calibri"/>
      <family val="2"/>
      <scheme val="minor"/>
    </font>
    <font>
      <b/>
      <sz val="11"/>
      <color rgb="FFFF0000"/>
      <name val="Calibri"/>
      <family val="2"/>
      <scheme val="minor"/>
    </font>
    <font>
      <b/>
      <vertAlign val="superscript"/>
      <sz val="10"/>
      <name val="Calibri"/>
      <family val="2"/>
    </font>
    <font>
      <i/>
      <sz val="10"/>
      <color rgb="FFFF0000"/>
      <name val="Calibri"/>
      <family val="2"/>
      <scheme val="minor"/>
    </font>
    <font>
      <b/>
      <sz val="11"/>
      <name val="Calibri"/>
      <family val="2"/>
      <scheme val="minor"/>
    </font>
    <font>
      <b/>
      <sz val="18"/>
      <color theme="1"/>
      <name val="Calibri"/>
      <family val="2"/>
      <scheme val="minor"/>
    </font>
    <font>
      <i/>
      <sz val="10"/>
      <color theme="1"/>
      <name val="Calibri"/>
      <family val="2"/>
      <scheme val="minor"/>
    </font>
    <font>
      <sz val="12"/>
      <color theme="1"/>
      <name val="Calibri"/>
      <family val="2"/>
      <scheme val="minor"/>
    </font>
    <font>
      <b/>
      <sz val="12"/>
      <color rgb="FFFF0000"/>
      <name val="Calibri"/>
      <family val="2"/>
      <scheme val="minor"/>
    </font>
    <font>
      <sz val="10"/>
      <color theme="1"/>
      <name val="Calibri"/>
      <family val="2"/>
    </font>
    <font>
      <b/>
      <sz val="14"/>
      <name val="Calibri"/>
      <family val="2"/>
      <scheme val="minor"/>
    </font>
    <font>
      <sz val="11"/>
      <color rgb="FF000000"/>
      <name val="Calibri"/>
      <family val="2"/>
      <scheme val="minor"/>
    </font>
    <font>
      <b/>
      <sz val="9"/>
      <color indexed="81"/>
      <name val="Tahoma"/>
      <family val="2"/>
    </font>
    <font>
      <b/>
      <u/>
      <sz val="11"/>
      <color rgb="FFFF0000"/>
      <name val="Calibri"/>
      <family val="2"/>
      <scheme val="minor"/>
    </font>
    <font>
      <strike/>
      <sz val="11"/>
      <color theme="1"/>
      <name val="Calibri"/>
      <family val="2"/>
      <scheme val="minor"/>
    </font>
    <font>
      <b/>
      <i/>
      <sz val="11"/>
      <color theme="1"/>
      <name val="Calibri"/>
      <family val="2"/>
      <scheme val="minor"/>
    </font>
    <font>
      <i/>
      <sz val="12.6"/>
      <color theme="1"/>
      <name val="Calibri"/>
      <family val="2"/>
    </font>
    <font>
      <b/>
      <i/>
      <sz val="12"/>
      <name val="Calibri"/>
      <family val="2"/>
      <scheme val="minor"/>
    </font>
    <font>
      <u/>
      <sz val="11"/>
      <color theme="10"/>
      <name val="Calibri"/>
      <family val="2"/>
      <scheme val="minor"/>
    </font>
    <font>
      <b/>
      <u/>
      <sz val="11"/>
      <color theme="1"/>
      <name val="Calibri"/>
      <family val="2"/>
      <scheme val="minor"/>
    </font>
    <font>
      <b/>
      <sz val="17"/>
      <color rgb="FF0070C0"/>
      <name val="Calibri"/>
      <family val="2"/>
      <scheme val="minor"/>
    </font>
    <font>
      <u/>
      <sz val="11"/>
      <color theme="1"/>
      <name val="Calibri"/>
      <family val="2"/>
      <scheme val="minor"/>
    </font>
    <font>
      <b/>
      <u/>
      <sz val="11"/>
      <color theme="0"/>
      <name val="Calibri"/>
      <family val="2"/>
      <scheme val="minor"/>
    </font>
    <font>
      <b/>
      <u/>
      <sz val="12"/>
      <color theme="0"/>
      <name val="Calibri"/>
      <family val="2"/>
      <scheme val="minor"/>
    </font>
    <font>
      <b/>
      <sz val="10"/>
      <name val="Segoe UI"/>
      <family val="2"/>
    </font>
    <font>
      <b/>
      <u/>
      <sz val="9"/>
      <color theme="1"/>
      <name val="Calibri"/>
      <family val="2"/>
    </font>
    <font>
      <i/>
      <sz val="11"/>
      <color theme="1"/>
      <name val="Calibri"/>
      <family val="2"/>
      <scheme val="minor"/>
    </font>
    <font>
      <u/>
      <sz val="11"/>
      <name val="Calibri"/>
      <family val="2"/>
    </font>
    <font>
      <sz val="9"/>
      <color indexed="81"/>
      <name val="Tahoma"/>
      <family val="2"/>
    </font>
    <font>
      <b/>
      <u/>
      <sz val="10"/>
      <name val="Calibri"/>
      <family val="2"/>
    </font>
    <font>
      <b/>
      <u/>
      <sz val="10"/>
      <color rgb="FFFF0000"/>
      <name val="Calibri"/>
      <family val="2"/>
    </font>
    <font>
      <sz val="12"/>
      <name val="Calibri"/>
      <family val="2"/>
      <scheme val="minor"/>
    </font>
    <font>
      <i/>
      <sz val="11"/>
      <name val="Calibri"/>
      <family val="2"/>
      <scheme val="minor"/>
    </font>
    <font>
      <b/>
      <i/>
      <sz val="11"/>
      <name val="Calibri"/>
      <family val="2"/>
      <scheme val="minor"/>
    </font>
    <font>
      <b/>
      <sz val="10"/>
      <color theme="1"/>
      <name val="Calibri"/>
      <family val="2"/>
    </font>
    <font>
      <b/>
      <sz val="16"/>
      <color rgb="FFFF0000"/>
      <name val="Calibri"/>
      <family val="2"/>
      <scheme val="minor"/>
    </font>
    <font>
      <b/>
      <sz val="9"/>
      <color theme="1"/>
      <name val="Calibri"/>
      <family val="2"/>
      <scheme val="minor"/>
    </font>
    <font>
      <sz val="11"/>
      <color theme="10"/>
      <name val="Calibri"/>
      <family val="2"/>
      <scheme val="minor"/>
    </font>
    <font>
      <b/>
      <i/>
      <sz val="10"/>
      <color rgb="FFFF0000"/>
      <name val="Calibri"/>
      <family val="2"/>
      <scheme val="minor"/>
    </font>
    <font>
      <sz val="11"/>
      <color rgb="FF00B050"/>
      <name val="Calibri"/>
      <family val="2"/>
      <scheme val="minor"/>
    </font>
    <font>
      <vertAlign val="superscript"/>
      <sz val="10"/>
      <name val="Calibri"/>
      <family val="2"/>
    </font>
    <font>
      <b/>
      <sz val="14"/>
      <color rgb="FFFF0000"/>
      <name val="Calibri"/>
      <family val="2"/>
      <scheme val="minor"/>
    </font>
    <font>
      <strike/>
      <sz val="11"/>
      <color rgb="FFFF0000"/>
      <name val="Calibri"/>
      <family val="2"/>
      <scheme val="minor"/>
    </font>
  </fonts>
  <fills count="16">
    <fill>
      <patternFill patternType="none"/>
    </fill>
    <fill>
      <patternFill patternType="gray125"/>
    </fill>
    <fill>
      <patternFill patternType="solid">
        <fgColor theme="4" tint="0.59999389629810485"/>
        <bgColor indexed="64"/>
      </patternFill>
    </fill>
    <fill>
      <patternFill patternType="solid">
        <fgColor theme="9" tint="0.59999389629810485"/>
        <bgColor indexed="64"/>
      </patternFill>
    </fill>
    <fill>
      <patternFill patternType="solid">
        <fgColor theme="3" tint="-0.249977111117893"/>
        <bgColor indexed="64"/>
      </patternFill>
    </fill>
    <fill>
      <patternFill patternType="solid">
        <fgColor theme="5" tint="0.59999389629810485"/>
        <bgColor indexed="64"/>
      </patternFill>
    </fill>
    <fill>
      <patternFill patternType="solid">
        <fgColor rgb="FF0070C0"/>
        <bgColor indexed="64"/>
      </patternFill>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0" tint="-4.9989318521683403E-2"/>
        <bgColor indexed="64"/>
      </patternFill>
    </fill>
    <fill>
      <patternFill patternType="solid">
        <fgColor rgb="FFFFFFCC"/>
        <bgColor indexed="64"/>
      </patternFill>
    </fill>
    <fill>
      <patternFill patternType="solid">
        <fgColor theme="1"/>
        <bgColor indexed="64"/>
      </patternFill>
    </fill>
    <fill>
      <patternFill patternType="solid">
        <fgColor theme="2" tint="-9.9978637043366805E-2"/>
        <bgColor indexed="64"/>
      </patternFill>
    </fill>
    <fill>
      <patternFill patternType="solid">
        <fgColor theme="7" tint="0.79998168889431442"/>
        <bgColor indexed="64"/>
      </patternFill>
    </fill>
    <fill>
      <patternFill patternType="solid">
        <fgColor theme="9" tint="0.79998168889431442"/>
        <bgColor indexed="64"/>
      </patternFill>
    </fill>
  </fills>
  <borders count="3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double">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top style="thin">
        <color indexed="64"/>
      </top>
      <bottom style="thin">
        <color indexed="64"/>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49" fillId="0" borderId="0" applyNumberFormat="0" applyFill="0" applyBorder="0" applyAlignment="0" applyProtection="0"/>
    <xf numFmtId="0" fontId="1" fillId="0" borderId="0"/>
  </cellStyleXfs>
  <cellXfs count="508">
    <xf numFmtId="0" fontId="0" fillId="0" borderId="0" xfId="0"/>
    <xf numFmtId="0" fontId="0" fillId="0" borderId="0" xfId="0" applyProtection="1">
      <protection hidden="1"/>
    </xf>
    <xf numFmtId="0" fontId="0" fillId="2" borderId="4" xfId="0" applyFill="1" applyBorder="1" applyProtection="1">
      <protection hidden="1"/>
    </xf>
    <xf numFmtId="0" fontId="0" fillId="0" borderId="5" xfId="0" applyBorder="1" applyProtection="1">
      <protection hidden="1"/>
    </xf>
    <xf numFmtId="0" fontId="0" fillId="0" borderId="6" xfId="0" applyBorder="1" applyProtection="1">
      <protection hidden="1"/>
    </xf>
    <xf numFmtId="44" fontId="0" fillId="0" borderId="7" xfId="2" applyFont="1" applyFill="1" applyBorder="1" applyProtection="1">
      <protection hidden="1"/>
    </xf>
    <xf numFmtId="44" fontId="0" fillId="3" borderId="7" xfId="0" applyNumberFormat="1" applyFill="1" applyBorder="1" applyProtection="1">
      <protection locked="0"/>
    </xf>
    <xf numFmtId="9" fontId="0" fillId="3" borderId="7" xfId="3" applyFont="1" applyFill="1" applyBorder="1" applyProtection="1">
      <protection locked="0"/>
    </xf>
    <xf numFmtId="44" fontId="0" fillId="0" borderId="8" xfId="0" applyNumberFormat="1" applyBorder="1" applyProtection="1">
      <protection hidden="1"/>
    </xf>
    <xf numFmtId="0" fontId="7" fillId="4" borderId="9" xfId="0" applyFont="1" applyFill="1" applyBorder="1" applyProtection="1">
      <protection hidden="1"/>
    </xf>
    <xf numFmtId="0" fontId="0" fillId="2" borderId="9" xfId="0" applyFill="1" applyBorder="1" applyProtection="1">
      <protection hidden="1"/>
    </xf>
    <xf numFmtId="0" fontId="0" fillId="0" borderId="7" xfId="0" applyBorder="1" applyProtection="1">
      <protection hidden="1"/>
    </xf>
    <xf numFmtId="164" fontId="0" fillId="3" borderId="6" xfId="1" applyNumberFormat="1" applyFont="1" applyFill="1" applyBorder="1" applyProtection="1">
      <protection locked="0"/>
    </xf>
    <xf numFmtId="44" fontId="0" fillId="3" borderId="6" xfId="2" applyFont="1" applyFill="1" applyBorder="1" applyProtection="1">
      <protection locked="0"/>
    </xf>
    <xf numFmtId="44" fontId="0" fillId="0" borderId="1" xfId="2" applyFont="1" applyBorder="1" applyProtection="1">
      <protection hidden="1"/>
    </xf>
    <xf numFmtId="44" fontId="0" fillId="0" borderId="7" xfId="0" applyNumberFormat="1" applyBorder="1" applyProtection="1">
      <protection hidden="1"/>
    </xf>
    <xf numFmtId="44" fontId="0" fillId="0" borderId="6" xfId="2" applyFont="1" applyBorder="1" applyProtection="1">
      <protection hidden="1"/>
    </xf>
    <xf numFmtId="0" fontId="0" fillId="3" borderId="5" xfId="0" applyFill="1" applyBorder="1" applyProtection="1">
      <protection locked="0"/>
    </xf>
    <xf numFmtId="165" fontId="0" fillId="3" borderId="7" xfId="1" applyNumberFormat="1" applyFont="1" applyFill="1" applyBorder="1" applyProtection="1">
      <protection locked="0"/>
    </xf>
    <xf numFmtId="0" fontId="0" fillId="0" borderId="9" xfId="0" applyBorder="1" applyProtection="1">
      <protection hidden="1"/>
    </xf>
    <xf numFmtId="0" fontId="0" fillId="0" borderId="10" xfId="0" applyBorder="1" applyProtection="1">
      <protection hidden="1"/>
    </xf>
    <xf numFmtId="0" fontId="0" fillId="0" borderId="11" xfId="0" applyBorder="1" applyProtection="1">
      <protection hidden="1"/>
    </xf>
    <xf numFmtId="0" fontId="0" fillId="0" borderId="12" xfId="0" applyBorder="1" applyProtection="1">
      <protection hidden="1"/>
    </xf>
    <xf numFmtId="0" fontId="0" fillId="2" borderId="1" xfId="0" applyFill="1" applyBorder="1" applyProtection="1">
      <protection hidden="1"/>
    </xf>
    <xf numFmtId="0" fontId="0" fillId="2" borderId="2" xfId="0" applyFill="1" applyBorder="1" applyProtection="1">
      <protection hidden="1"/>
    </xf>
    <xf numFmtId="0" fontId="0" fillId="5" borderId="1" xfId="0" applyFill="1" applyBorder="1" applyProtection="1">
      <protection hidden="1"/>
    </xf>
    <xf numFmtId="0" fontId="0" fillId="5" borderId="2" xfId="0" applyFill="1" applyBorder="1" applyProtection="1">
      <protection hidden="1"/>
    </xf>
    <xf numFmtId="0" fontId="0" fillId="5" borderId="3" xfId="0" applyFill="1" applyBorder="1" applyProtection="1">
      <protection hidden="1"/>
    </xf>
    <xf numFmtId="44" fontId="0" fillId="0" borderId="0" xfId="2" applyFont="1" applyFill="1" applyBorder="1" applyProtection="1">
      <protection hidden="1"/>
    </xf>
    <xf numFmtId="0" fontId="0" fillId="0" borderId="7" xfId="0" applyBorder="1"/>
    <xf numFmtId="44" fontId="0" fillId="0" borderId="13" xfId="0" applyNumberFormat="1" applyBorder="1" applyProtection="1">
      <protection hidden="1"/>
    </xf>
    <xf numFmtId="44" fontId="0" fillId="0" borderId="0" xfId="0" applyNumberFormat="1" applyProtection="1">
      <protection hidden="1"/>
    </xf>
    <xf numFmtId="0" fontId="8" fillId="0" borderId="0" xfId="0" applyFont="1" applyProtection="1">
      <protection hidden="1"/>
    </xf>
    <xf numFmtId="166" fontId="0" fillId="0" borderId="0" xfId="1" applyNumberFormat="1" applyFont="1" applyProtection="1">
      <protection hidden="1"/>
    </xf>
    <xf numFmtId="44" fontId="0" fillId="0" borderId="11" xfId="0" applyNumberFormat="1" applyBorder="1" applyProtection="1">
      <protection hidden="1"/>
    </xf>
    <xf numFmtId="0" fontId="0" fillId="3" borderId="0" xfId="0" applyFill="1" applyProtection="1">
      <protection hidden="1"/>
    </xf>
    <xf numFmtId="0" fontId="0" fillId="0" borderId="0" xfId="0" applyAlignment="1" applyProtection="1">
      <alignment horizontal="center"/>
      <protection hidden="1"/>
    </xf>
    <xf numFmtId="167" fontId="0" fillId="0" borderId="0" xfId="2" applyNumberFormat="1" applyFont="1" applyBorder="1" applyProtection="1">
      <protection hidden="1"/>
    </xf>
    <xf numFmtId="0" fontId="0" fillId="0" borderId="0" xfId="0" applyAlignment="1">
      <alignment horizontal="center"/>
    </xf>
    <xf numFmtId="167" fontId="0" fillId="0" borderId="0" xfId="2" applyNumberFormat="1" applyFont="1" applyBorder="1" applyProtection="1"/>
    <xf numFmtId="0" fontId="11" fillId="0" borderId="0" xfId="0" applyFont="1" applyAlignment="1" applyProtection="1">
      <alignment horizontal="left" vertical="center"/>
      <protection hidden="1"/>
    </xf>
    <xf numFmtId="0" fontId="12" fillId="3" borderId="4" xfId="0" applyFont="1" applyFill="1" applyBorder="1" applyProtection="1">
      <protection locked="0"/>
    </xf>
    <xf numFmtId="0" fontId="13" fillId="0" borderId="0" xfId="0" applyFont="1" applyAlignment="1" applyProtection="1">
      <alignment vertical="top"/>
      <protection hidden="1"/>
    </xf>
    <xf numFmtId="14" fontId="12" fillId="3" borderId="4" xfId="0" applyNumberFormat="1" applyFont="1" applyFill="1" applyBorder="1" applyProtection="1">
      <protection locked="0"/>
    </xf>
    <xf numFmtId="0" fontId="11" fillId="0" borderId="0" xfId="0" applyFont="1" applyAlignment="1" applyProtection="1">
      <alignment horizontal="center" vertical="center"/>
      <protection hidden="1"/>
    </xf>
    <xf numFmtId="0" fontId="15" fillId="0" borderId="0" xfId="0" applyFont="1" applyAlignment="1" applyProtection="1">
      <alignment vertical="top"/>
      <protection hidden="1"/>
    </xf>
    <xf numFmtId="167" fontId="0" fillId="0" borderId="0" xfId="2" applyNumberFormat="1" applyFont="1" applyBorder="1" applyAlignment="1" applyProtection="1">
      <protection hidden="1"/>
    </xf>
    <xf numFmtId="0" fontId="14" fillId="6" borderId="0" xfId="0" applyFont="1" applyFill="1" applyAlignment="1" applyProtection="1">
      <alignment vertical="top"/>
      <protection hidden="1"/>
    </xf>
    <xf numFmtId="8" fontId="17" fillId="6" borderId="0" xfId="0" applyNumberFormat="1" applyFont="1" applyFill="1" applyAlignment="1" applyProtection="1">
      <alignment horizontal="center" vertical="center"/>
      <protection hidden="1"/>
    </xf>
    <xf numFmtId="8" fontId="14" fillId="6" borderId="0" xfId="0" applyNumberFormat="1" applyFont="1" applyFill="1" applyAlignment="1" applyProtection="1">
      <alignment horizontal="center" vertical="center"/>
      <protection hidden="1"/>
    </xf>
    <xf numFmtId="8" fontId="19" fillId="0" borderId="0" xfId="0" applyNumberFormat="1" applyFont="1" applyAlignment="1" applyProtection="1">
      <alignment horizontal="center" vertical="center"/>
      <protection hidden="1"/>
    </xf>
    <xf numFmtId="167" fontId="0" fillId="0" borderId="0" xfId="2" applyNumberFormat="1" applyFont="1" applyBorder="1" applyAlignment="1" applyProtection="1">
      <alignment horizontal="center"/>
    </xf>
    <xf numFmtId="0" fontId="0" fillId="3" borderId="0" xfId="0" applyFill="1" applyAlignment="1" applyProtection="1">
      <alignment horizontal="center"/>
      <protection locked="0"/>
    </xf>
    <xf numFmtId="0" fontId="0" fillId="2" borderId="0" xfId="0" applyFill="1" applyAlignment="1" applyProtection="1">
      <alignment horizontal="center"/>
      <protection hidden="1"/>
    </xf>
    <xf numFmtId="0" fontId="15" fillId="0" borderId="1" xfId="0" applyFont="1" applyBorder="1" applyProtection="1">
      <protection hidden="1"/>
    </xf>
    <xf numFmtId="0" fontId="15" fillId="0" borderId="3" xfId="0" applyFont="1" applyBorder="1" applyAlignment="1" applyProtection="1">
      <alignment vertical="top"/>
      <protection hidden="1"/>
    </xf>
    <xf numFmtId="167" fontId="0" fillId="0" borderId="0" xfId="2" applyNumberFormat="1" applyFont="1" applyBorder="1" applyAlignment="1" applyProtection="1">
      <alignment horizontal="center"/>
      <protection hidden="1"/>
    </xf>
    <xf numFmtId="0" fontId="15" fillId="0" borderId="0" xfId="0" applyFont="1" applyAlignment="1">
      <alignment vertical="top"/>
    </xf>
    <xf numFmtId="8" fontId="15" fillId="0" borderId="0" xfId="0" applyNumberFormat="1" applyFont="1" applyAlignment="1" applyProtection="1">
      <alignment horizontal="center" vertical="center"/>
      <protection hidden="1"/>
    </xf>
    <xf numFmtId="0" fontId="15" fillId="0" borderId="4" xfId="0" applyFont="1" applyBorder="1" applyAlignment="1" applyProtection="1">
      <alignment vertical="top"/>
      <protection hidden="1"/>
    </xf>
    <xf numFmtId="0" fontId="22" fillId="0" borderId="0" xfId="0" applyFont="1" applyProtection="1">
      <protection hidden="1"/>
    </xf>
    <xf numFmtId="8" fontId="20" fillId="0" borderId="0" xfId="0" applyNumberFormat="1" applyFont="1" applyAlignment="1">
      <alignment horizontal="center"/>
    </xf>
    <xf numFmtId="167" fontId="0" fillId="0" borderId="0" xfId="2" applyNumberFormat="1" applyFont="1" applyFill="1" applyBorder="1" applyProtection="1">
      <protection hidden="1"/>
    </xf>
    <xf numFmtId="167" fontId="0" fillId="0" borderId="0" xfId="2" applyNumberFormat="1" applyFont="1" applyFill="1" applyBorder="1" applyAlignment="1" applyProtection="1">
      <alignment horizontal="center"/>
      <protection hidden="1"/>
    </xf>
    <xf numFmtId="0" fontId="15" fillId="0" borderId="0" xfId="0" applyFont="1" applyProtection="1">
      <protection hidden="1"/>
    </xf>
    <xf numFmtId="0" fontId="24" fillId="0" borderId="0" xfId="0" applyFont="1" applyAlignment="1" applyProtection="1">
      <alignment horizontal="center"/>
      <protection hidden="1"/>
    </xf>
    <xf numFmtId="0" fontId="2" fillId="0" borderId="0" xfId="0" applyFont="1" applyProtection="1">
      <protection hidden="1"/>
    </xf>
    <xf numFmtId="0" fontId="21" fillId="0" borderId="15" xfId="0" applyFont="1" applyBorder="1" applyProtection="1">
      <protection hidden="1"/>
    </xf>
    <xf numFmtId="0" fontId="22" fillId="0" borderId="4" xfId="0" applyFont="1" applyBorder="1" applyAlignment="1" applyProtection="1">
      <alignment horizontal="center" vertical="center"/>
      <protection hidden="1"/>
    </xf>
    <xf numFmtId="167" fontId="15" fillId="0" borderId="0" xfId="2" applyNumberFormat="1" applyFont="1" applyBorder="1" applyAlignment="1" applyProtection="1">
      <alignment horizontal="center" vertical="center"/>
      <protection hidden="1"/>
    </xf>
    <xf numFmtId="0" fontId="26" fillId="3" borderId="0" xfId="0" applyFont="1" applyFill="1" applyAlignment="1" applyProtection="1">
      <alignment horizontal="center"/>
      <protection locked="0"/>
    </xf>
    <xf numFmtId="0" fontId="21" fillId="0" borderId="3" xfId="0" applyFont="1" applyBorder="1" applyAlignment="1" applyProtection="1">
      <alignment vertical="top"/>
      <protection hidden="1"/>
    </xf>
    <xf numFmtId="8" fontId="21" fillId="0" borderId="4" xfId="0" applyNumberFormat="1" applyFont="1" applyBorder="1" applyAlignment="1" applyProtection="1">
      <alignment horizontal="center" vertical="center"/>
      <protection hidden="1"/>
    </xf>
    <xf numFmtId="0" fontId="26" fillId="0" borderId="0" xfId="0" applyFont="1" applyAlignment="1" applyProtection="1">
      <alignment horizontal="center"/>
      <protection hidden="1"/>
    </xf>
    <xf numFmtId="0" fontId="26" fillId="0" borderId="0" xfId="0" applyFont="1" applyProtection="1">
      <protection hidden="1"/>
    </xf>
    <xf numFmtId="0" fontId="22" fillId="0" borderId="0" xfId="0" applyFont="1" applyAlignment="1" applyProtection="1">
      <alignment horizontal="left" vertical="top"/>
      <protection hidden="1"/>
    </xf>
    <xf numFmtId="0" fontId="21" fillId="0" borderId="0" xfId="0" applyFont="1" applyAlignment="1" applyProtection="1">
      <alignment vertical="top"/>
      <protection hidden="1"/>
    </xf>
    <xf numFmtId="8" fontId="21" fillId="0" borderId="0" xfId="0" applyNumberFormat="1" applyFont="1" applyAlignment="1" applyProtection="1">
      <alignment horizontal="center" vertical="center"/>
      <protection hidden="1"/>
    </xf>
    <xf numFmtId="167" fontId="26" fillId="0" borderId="0" xfId="2" applyNumberFormat="1" applyFont="1" applyBorder="1" applyAlignment="1" applyProtection="1">
      <protection hidden="1"/>
    </xf>
    <xf numFmtId="167" fontId="26" fillId="0" borderId="0" xfId="2" applyNumberFormat="1" applyFont="1" applyBorder="1" applyAlignment="1" applyProtection="1">
      <alignment horizontal="center"/>
      <protection hidden="1"/>
    </xf>
    <xf numFmtId="0" fontId="26" fillId="0" borderId="0" xfId="0" applyFont="1"/>
    <xf numFmtId="0" fontId="25" fillId="0" borderId="0" xfId="0" applyFont="1" applyProtection="1">
      <protection hidden="1"/>
    </xf>
    <xf numFmtId="0" fontId="25" fillId="0" borderId="0" xfId="0" applyFont="1" applyAlignment="1" applyProtection="1">
      <alignment vertical="top"/>
      <protection hidden="1"/>
    </xf>
    <xf numFmtId="8" fontId="25" fillId="0" borderId="0" xfId="0" applyNumberFormat="1" applyFont="1" applyAlignment="1" applyProtection="1">
      <alignment horizontal="center" vertical="center"/>
      <protection hidden="1"/>
    </xf>
    <xf numFmtId="0" fontId="21" fillId="0" borderId="4" xfId="0" applyFont="1" applyBorder="1" applyProtection="1">
      <protection hidden="1"/>
    </xf>
    <xf numFmtId="168" fontId="0" fillId="0" borderId="0" xfId="0" applyNumberFormat="1"/>
    <xf numFmtId="0" fontId="21" fillId="0" borderId="3" xfId="0" applyFont="1" applyBorder="1" applyProtection="1">
      <protection hidden="1"/>
    </xf>
    <xf numFmtId="0" fontId="21" fillId="0" borderId="4" xfId="0" applyFont="1" applyBorder="1" applyAlignment="1" applyProtection="1">
      <alignment vertical="top"/>
      <protection hidden="1"/>
    </xf>
    <xf numFmtId="0" fontId="21" fillId="0" borderId="0" xfId="0" applyFont="1" applyProtection="1">
      <protection hidden="1"/>
    </xf>
    <xf numFmtId="0" fontId="2" fillId="0" borderId="0" xfId="0" applyFont="1"/>
    <xf numFmtId="0" fontId="21" fillId="0" borderId="1" xfId="0" applyFont="1" applyBorder="1" applyProtection="1">
      <protection hidden="1"/>
    </xf>
    <xf numFmtId="167" fontId="0" fillId="0" borderId="0" xfId="2" applyNumberFormat="1" applyFont="1" applyFill="1" applyBorder="1" applyAlignment="1" applyProtection="1">
      <protection hidden="1"/>
    </xf>
    <xf numFmtId="0" fontId="26" fillId="2" borderId="0" xfId="0" applyFont="1" applyFill="1" applyAlignment="1" applyProtection="1">
      <alignment horizontal="center"/>
      <protection hidden="1"/>
    </xf>
    <xf numFmtId="8" fontId="15" fillId="3" borderId="4" xfId="0" applyNumberFormat="1" applyFont="1" applyFill="1" applyBorder="1" applyAlignment="1" applyProtection="1">
      <alignment horizontal="center"/>
      <protection locked="0" hidden="1"/>
    </xf>
    <xf numFmtId="167" fontId="25" fillId="0" borderId="0" xfId="2" applyNumberFormat="1" applyFont="1" applyBorder="1" applyAlignment="1" applyProtection="1">
      <alignment horizontal="center" vertical="center"/>
      <protection hidden="1"/>
    </xf>
    <xf numFmtId="8" fontId="14" fillId="0" borderId="0" xfId="0" applyNumberFormat="1" applyFont="1" applyAlignment="1" applyProtection="1">
      <alignment horizontal="center" vertical="center"/>
      <protection hidden="1"/>
    </xf>
    <xf numFmtId="8" fontId="15" fillId="0" borderId="4" xfId="0" applyNumberFormat="1" applyFont="1" applyBorder="1" applyAlignment="1" applyProtection="1">
      <alignment horizontal="center"/>
      <protection hidden="1"/>
    </xf>
    <xf numFmtId="44" fontId="0" fillId="0" borderId="0" xfId="2" applyFont="1" applyBorder="1" applyProtection="1"/>
    <xf numFmtId="44" fontId="0" fillId="0" borderId="0" xfId="0" applyNumberFormat="1"/>
    <xf numFmtId="0" fontId="26" fillId="0" borderId="0" xfId="0" applyFont="1" applyAlignment="1">
      <alignment horizontal="center"/>
    </xf>
    <xf numFmtId="167" fontId="25" fillId="0" borderId="0" xfId="2" applyNumberFormat="1" applyFont="1" applyFill="1" applyBorder="1" applyAlignment="1" applyProtection="1">
      <alignment horizontal="center" vertical="center"/>
      <protection hidden="1"/>
    </xf>
    <xf numFmtId="0" fontId="25" fillId="0" borderId="0" xfId="0" applyFont="1" applyAlignment="1" applyProtection="1">
      <alignment horizontal="center" vertical="center"/>
      <protection hidden="1"/>
    </xf>
    <xf numFmtId="0" fontId="31" fillId="0" borderId="0" xfId="0" applyFont="1" applyAlignment="1" applyProtection="1">
      <alignment horizontal="center" vertical="center"/>
      <protection hidden="1"/>
    </xf>
    <xf numFmtId="0" fontId="22" fillId="0" borderId="0" xfId="0" applyFont="1" applyAlignment="1" applyProtection="1">
      <alignment vertical="top"/>
      <protection hidden="1"/>
    </xf>
    <xf numFmtId="8" fontId="15" fillId="0" borderId="0" xfId="0" applyNumberFormat="1" applyFont="1" applyAlignment="1" applyProtection="1">
      <alignment horizontal="center"/>
      <protection hidden="1"/>
    </xf>
    <xf numFmtId="167" fontId="31" fillId="0" borderId="0" xfId="2" applyNumberFormat="1" applyFont="1" applyFill="1" applyBorder="1" applyAlignment="1" applyProtection="1">
      <alignment horizontal="center" vertical="center"/>
      <protection hidden="1"/>
    </xf>
    <xf numFmtId="0" fontId="34" fillId="0" borderId="3" xfId="0" applyFont="1" applyBorder="1" applyAlignment="1" applyProtection="1">
      <alignment vertical="center"/>
      <protection hidden="1"/>
    </xf>
    <xf numFmtId="0" fontId="30" fillId="0" borderId="3" xfId="0" applyFont="1" applyBorder="1" applyAlignment="1" applyProtection="1">
      <alignment vertical="center"/>
      <protection hidden="1"/>
    </xf>
    <xf numFmtId="0" fontId="34" fillId="0" borderId="0" xfId="0" applyFont="1" applyAlignment="1" applyProtection="1">
      <alignment vertical="center"/>
      <protection hidden="1"/>
    </xf>
    <xf numFmtId="167" fontId="0" fillId="0" borderId="0" xfId="2" applyNumberFormat="1" applyFont="1" applyFill="1" applyBorder="1" applyAlignment="1" applyProtection="1">
      <alignment horizontal="center"/>
    </xf>
    <xf numFmtId="0" fontId="15" fillId="7" borderId="0" xfId="0" applyFont="1" applyFill="1" applyAlignment="1" applyProtection="1">
      <alignment vertical="top"/>
      <protection hidden="1"/>
    </xf>
    <xf numFmtId="8" fontId="23" fillId="7" borderId="0" xfId="0" applyNumberFormat="1" applyFont="1" applyFill="1" applyAlignment="1" applyProtection="1">
      <alignment horizontal="center" vertical="center"/>
      <protection hidden="1"/>
    </xf>
    <xf numFmtId="8" fontId="15" fillId="7" borderId="0" xfId="0" applyNumberFormat="1" applyFont="1" applyFill="1" applyAlignment="1" applyProtection="1">
      <alignment horizontal="center" vertical="center"/>
      <protection hidden="1"/>
    </xf>
    <xf numFmtId="167" fontId="26" fillId="0" borderId="0" xfId="2" applyNumberFormat="1" applyFont="1" applyBorder="1" applyProtection="1">
      <protection hidden="1"/>
    </xf>
    <xf numFmtId="0" fontId="34" fillId="0" borderId="4" xfId="0" applyFont="1" applyBorder="1" applyAlignment="1" applyProtection="1">
      <alignment vertical="center"/>
      <protection hidden="1"/>
    </xf>
    <xf numFmtId="0" fontId="30" fillId="0" borderId="4" xfId="0" applyFont="1" applyBorder="1" applyAlignment="1" applyProtection="1">
      <alignment vertical="center"/>
      <protection hidden="1"/>
    </xf>
    <xf numFmtId="0" fontId="3" fillId="0" borderId="0" xfId="0" applyFont="1"/>
    <xf numFmtId="0" fontId="35" fillId="0" borderId="4" xfId="0" applyFont="1" applyBorder="1"/>
    <xf numFmtId="0" fontId="26" fillId="0" borderId="4" xfId="0" applyFont="1" applyBorder="1"/>
    <xf numFmtId="0" fontId="26" fillId="0" borderId="4" xfId="0" applyFont="1" applyBorder="1" applyAlignment="1">
      <alignment horizontal="left" vertical="top"/>
    </xf>
    <xf numFmtId="1" fontId="26" fillId="0" borderId="4" xfId="0" applyNumberFormat="1" applyFont="1" applyBorder="1" applyAlignment="1">
      <alignment horizontal="left" vertical="top"/>
    </xf>
    <xf numFmtId="0" fontId="37" fillId="0" borderId="0" xfId="0" applyFont="1"/>
    <xf numFmtId="0" fontId="15" fillId="0" borderId="0" xfId="0" applyFont="1" applyAlignment="1" applyProtection="1">
      <alignment vertical="center"/>
      <protection hidden="1"/>
    </xf>
    <xf numFmtId="8" fontId="15" fillId="0" borderId="1" xfId="0" applyNumberFormat="1" applyFont="1" applyBorder="1" applyAlignment="1" applyProtection="1">
      <alignment horizontal="left"/>
      <protection hidden="1"/>
    </xf>
    <xf numFmtId="8" fontId="21" fillId="0" borderId="0" xfId="0" applyNumberFormat="1" applyFont="1" applyAlignment="1" applyProtection="1">
      <alignment horizontal="center"/>
      <protection hidden="1"/>
    </xf>
    <xf numFmtId="8" fontId="15" fillId="0" borderId="2" xfId="0" applyNumberFormat="1" applyFont="1" applyBorder="1" applyAlignment="1" applyProtection="1">
      <alignment horizontal="left"/>
      <protection hidden="1"/>
    </xf>
    <xf numFmtId="0" fontId="15" fillId="0" borderId="4" xfId="0" applyFont="1" applyBorder="1" applyProtection="1">
      <protection hidden="1"/>
    </xf>
    <xf numFmtId="0" fontId="15" fillId="2" borderId="2" xfId="0" applyFont="1" applyFill="1" applyBorder="1" applyAlignment="1" applyProtection="1">
      <alignment vertical="top"/>
      <protection hidden="1"/>
    </xf>
    <xf numFmtId="8" fontId="15" fillId="2" borderId="2" xfId="0" applyNumberFormat="1" applyFont="1" applyFill="1" applyBorder="1" applyAlignment="1" applyProtection="1">
      <alignment horizontal="center" vertical="center"/>
      <protection hidden="1"/>
    </xf>
    <xf numFmtId="167" fontId="0" fillId="2" borderId="2" xfId="2" applyNumberFormat="1" applyFont="1" applyFill="1" applyBorder="1" applyAlignment="1" applyProtection="1">
      <protection hidden="1"/>
    </xf>
    <xf numFmtId="0" fontId="11" fillId="2" borderId="3" xfId="2" applyNumberFormat="1" applyFont="1" applyFill="1" applyBorder="1" applyAlignment="1" applyProtection="1">
      <alignment horizontal="center" vertical="center"/>
      <protection hidden="1"/>
    </xf>
    <xf numFmtId="167" fontId="1" fillId="0" borderId="0" xfId="2" applyNumberFormat="1" applyFont="1" applyBorder="1" applyProtection="1">
      <protection hidden="1"/>
    </xf>
    <xf numFmtId="44" fontId="1" fillId="0" borderId="0" xfId="2" applyFont="1" applyBorder="1" applyAlignment="1" applyProtection="1">
      <alignment horizontal="center"/>
      <protection hidden="1"/>
    </xf>
    <xf numFmtId="0" fontId="0" fillId="7" borderId="0" xfId="0" applyFill="1" applyAlignment="1" applyProtection="1">
      <alignment horizontal="center"/>
      <protection hidden="1"/>
    </xf>
    <xf numFmtId="0" fontId="0" fillId="7" borderId="0" xfId="0" applyFill="1" applyProtection="1">
      <protection hidden="1"/>
    </xf>
    <xf numFmtId="167" fontId="1" fillId="7" borderId="0" xfId="2" applyNumberFormat="1" applyFont="1" applyFill="1" applyBorder="1" applyProtection="1">
      <protection hidden="1"/>
    </xf>
    <xf numFmtId="0" fontId="35" fillId="0" borderId="0" xfId="0" applyFont="1"/>
    <xf numFmtId="0" fontId="0" fillId="0" borderId="1" xfId="0" applyBorder="1"/>
    <xf numFmtId="0" fontId="25" fillId="0" borderId="3" xfId="0" applyFont="1" applyBorder="1" applyProtection="1">
      <protection hidden="1"/>
    </xf>
    <xf numFmtId="0" fontId="9" fillId="0" borderId="0" xfId="0" applyFont="1" applyProtection="1">
      <protection hidden="1"/>
    </xf>
    <xf numFmtId="8" fontId="0" fillId="0" borderId="0" xfId="0" applyNumberFormat="1" applyProtection="1">
      <protection hidden="1"/>
    </xf>
    <xf numFmtId="0" fontId="23" fillId="0" borderId="0" xfId="0" applyFont="1" applyProtection="1">
      <protection hidden="1"/>
    </xf>
    <xf numFmtId="8" fontId="25" fillId="7" borderId="0" xfId="0" applyNumberFormat="1" applyFont="1" applyFill="1" applyAlignment="1" applyProtection="1">
      <alignment horizontal="center" vertical="center"/>
      <protection hidden="1"/>
    </xf>
    <xf numFmtId="0" fontId="35" fillId="0" borderId="17" xfId="0" applyFont="1" applyBorder="1" applyAlignment="1">
      <alignment horizontal="center" wrapText="1"/>
    </xf>
    <xf numFmtId="167" fontId="35" fillId="0" borderId="17" xfId="2" applyNumberFormat="1" applyFont="1" applyBorder="1" applyAlignment="1" applyProtection="1">
      <alignment horizontal="center" wrapText="1"/>
    </xf>
    <xf numFmtId="167" fontId="35" fillId="0" borderId="27" xfId="2" applyNumberFormat="1" applyFont="1" applyBorder="1" applyAlignment="1" applyProtection="1">
      <alignment horizontal="center" wrapText="1"/>
    </xf>
    <xf numFmtId="0" fontId="35" fillId="0" borderId="4" xfId="0" applyFont="1" applyBorder="1" applyAlignment="1">
      <alignment horizontal="center"/>
    </xf>
    <xf numFmtId="167" fontId="35" fillId="0" borderId="4" xfId="2" applyNumberFormat="1" applyFont="1" applyBorder="1" applyAlignment="1" applyProtection="1">
      <alignment horizontal="center"/>
    </xf>
    <xf numFmtId="167" fontId="35" fillId="0" borderId="1" xfId="2" applyNumberFormat="1" applyFont="1" applyBorder="1" applyAlignment="1" applyProtection="1">
      <alignment horizontal="center"/>
    </xf>
    <xf numFmtId="0" fontId="42" fillId="0" borderId="0" xfId="0" applyFont="1"/>
    <xf numFmtId="0" fontId="37" fillId="0" borderId="3" xfId="0" applyFont="1" applyBorder="1" applyAlignment="1" applyProtection="1">
      <alignment vertical="center"/>
      <protection hidden="1"/>
    </xf>
    <xf numFmtId="0" fontId="15" fillId="0" borderId="3" xfId="0" applyFont="1" applyBorder="1" applyProtection="1">
      <protection hidden="1"/>
    </xf>
    <xf numFmtId="167" fontId="26" fillId="0" borderId="0" xfId="2" applyNumberFormat="1" applyFont="1" applyFill="1" applyBorder="1" applyAlignment="1" applyProtection="1">
      <protection hidden="1"/>
    </xf>
    <xf numFmtId="0" fontId="21" fillId="0" borderId="4" xfId="0" applyFont="1" applyBorder="1" applyAlignment="1" applyProtection="1">
      <alignment horizontal="center" vertical="center"/>
      <protection hidden="1"/>
    </xf>
    <xf numFmtId="0" fontId="27" fillId="0" borderId="0" xfId="0" applyFont="1" applyProtection="1">
      <protection hidden="1"/>
    </xf>
    <xf numFmtId="0" fontId="0" fillId="2" borderId="2" xfId="0" applyFill="1" applyBorder="1" applyAlignment="1" applyProtection="1">
      <alignment horizontal="center"/>
      <protection hidden="1"/>
    </xf>
    <xf numFmtId="0" fontId="18" fillId="0" borderId="0" xfId="0" applyFont="1" applyAlignment="1">
      <alignment vertical="center"/>
    </xf>
    <xf numFmtId="0" fontId="16" fillId="6" borderId="0" xfId="0" applyFont="1" applyFill="1" applyAlignment="1">
      <alignment vertical="center"/>
    </xf>
    <xf numFmtId="0" fontId="36" fillId="0" borderId="0" xfId="0" applyFont="1" applyAlignment="1">
      <alignment vertical="center"/>
    </xf>
    <xf numFmtId="0" fontId="11" fillId="7" borderId="0" xfId="0" applyFont="1" applyFill="1" applyAlignment="1">
      <alignment vertical="center"/>
    </xf>
    <xf numFmtId="0" fontId="11" fillId="0" borderId="0" xfId="0" applyFont="1" applyAlignment="1">
      <alignment horizontal="center" vertical="center"/>
    </xf>
    <xf numFmtId="0" fontId="24" fillId="0" borderId="0" xfId="0" applyFont="1" applyAlignment="1">
      <alignment horizontal="center"/>
    </xf>
    <xf numFmtId="0" fontId="11" fillId="7" borderId="0" xfId="0" applyFont="1" applyFill="1" applyAlignment="1">
      <alignment horizontal="center" vertical="center"/>
    </xf>
    <xf numFmtId="0" fontId="11" fillId="2" borderId="1" xfId="0" applyFont="1" applyFill="1" applyBorder="1" applyAlignment="1">
      <alignment horizontal="center" vertical="center"/>
    </xf>
    <xf numFmtId="0" fontId="10" fillId="0" borderId="0" xfId="0" applyFont="1"/>
    <xf numFmtId="0" fontId="11" fillId="2" borderId="1" xfId="0" applyFont="1" applyFill="1" applyBorder="1" applyAlignment="1">
      <alignment horizontal="left" vertical="center"/>
    </xf>
    <xf numFmtId="0" fontId="38" fillId="0" borderId="0" xfId="0" applyFont="1" applyAlignment="1">
      <alignment horizontal="left" vertical="center"/>
    </xf>
    <xf numFmtId="0" fontId="38" fillId="7" borderId="0" xfId="0" applyFont="1" applyFill="1" applyAlignment="1">
      <alignment horizontal="left" vertical="center"/>
    </xf>
    <xf numFmtId="0" fontId="11" fillId="0" borderId="0" xfId="0" applyFont="1" applyAlignment="1">
      <alignment vertical="center"/>
    </xf>
    <xf numFmtId="0" fontId="39" fillId="0" borderId="0" xfId="0" applyFont="1" applyAlignment="1">
      <alignment vertical="center"/>
    </xf>
    <xf numFmtId="0" fontId="16" fillId="6" borderId="0" xfId="0" applyFont="1" applyFill="1" applyAlignment="1">
      <alignment horizontal="right" vertical="center"/>
    </xf>
    <xf numFmtId="0" fontId="11" fillId="7" borderId="0" xfId="0" applyFont="1" applyFill="1" applyAlignment="1">
      <alignment horizontal="right" vertical="center"/>
    </xf>
    <xf numFmtId="44" fontId="0" fillId="0" borderId="0" xfId="2" applyFont="1" applyFill="1" applyBorder="1" applyProtection="1"/>
    <xf numFmtId="0" fontId="12" fillId="0" borderId="0" xfId="0" applyFont="1"/>
    <xf numFmtId="0" fontId="29" fillId="0" borderId="0" xfId="0" applyFont="1" applyAlignment="1">
      <alignment vertical="center"/>
    </xf>
    <xf numFmtId="0" fontId="39" fillId="7" borderId="0" xfId="0" applyFont="1" applyFill="1" applyAlignment="1">
      <alignment vertical="center"/>
    </xf>
    <xf numFmtId="8" fontId="20" fillId="7" borderId="0" xfId="0" applyNumberFormat="1" applyFont="1" applyFill="1" applyAlignment="1" applyProtection="1">
      <alignment horizontal="center" vertical="center"/>
      <protection hidden="1"/>
    </xf>
    <xf numFmtId="8" fontId="21" fillId="7" borderId="0" xfId="0" applyNumberFormat="1" applyFont="1" applyFill="1" applyAlignment="1" applyProtection="1">
      <alignment horizontal="center" vertical="center"/>
      <protection hidden="1"/>
    </xf>
    <xf numFmtId="8" fontId="25" fillId="0" borderId="0" xfId="0" applyNumberFormat="1" applyFont="1" applyAlignment="1" applyProtection="1">
      <alignment horizontal="left" vertical="center"/>
      <protection hidden="1"/>
    </xf>
    <xf numFmtId="8" fontId="21" fillId="0" borderId="0" xfId="0" applyNumberFormat="1" applyFont="1" applyAlignment="1" applyProtection="1">
      <alignment horizontal="left" vertical="center"/>
      <protection hidden="1"/>
    </xf>
    <xf numFmtId="0" fontId="0" fillId="0" borderId="0" xfId="0" applyAlignment="1" applyProtection="1">
      <alignment horizontal="left"/>
      <protection hidden="1"/>
    </xf>
    <xf numFmtId="0" fontId="2" fillId="0" borderId="0" xfId="0" applyFont="1" applyAlignment="1" applyProtection="1">
      <alignment horizontal="left"/>
      <protection hidden="1"/>
    </xf>
    <xf numFmtId="8" fontId="25" fillId="7" borderId="0" xfId="0" applyNumberFormat="1" applyFont="1" applyFill="1" applyAlignment="1" applyProtection="1">
      <alignment horizontal="left" vertical="center"/>
      <protection hidden="1"/>
    </xf>
    <xf numFmtId="0" fontId="29" fillId="7" borderId="0" xfId="0" applyFont="1" applyFill="1" applyAlignment="1">
      <alignment vertical="center"/>
    </xf>
    <xf numFmtId="0" fontId="0" fillId="0" borderId="0" xfId="0" applyAlignment="1">
      <alignment horizontal="left" indent="2"/>
    </xf>
    <xf numFmtId="0" fontId="26" fillId="0" borderId="1" xfId="0" applyFont="1" applyBorder="1"/>
    <xf numFmtId="167" fontId="2" fillId="0" borderId="0" xfId="2" applyNumberFormat="1" applyFont="1" applyBorder="1" applyAlignment="1" applyProtection="1">
      <protection hidden="1"/>
    </xf>
    <xf numFmtId="0" fontId="39" fillId="0" borderId="0" xfId="0" applyFont="1"/>
    <xf numFmtId="0" fontId="39" fillId="7" borderId="0" xfId="0" applyFont="1" applyFill="1" applyAlignment="1">
      <alignment horizontal="center" vertical="center"/>
    </xf>
    <xf numFmtId="0" fontId="25" fillId="7" borderId="0" xfId="0" applyFont="1" applyFill="1" applyAlignment="1" applyProtection="1">
      <alignment vertical="top"/>
      <protection hidden="1"/>
    </xf>
    <xf numFmtId="0" fontId="44" fillId="0" borderId="0" xfId="0" applyFont="1" applyAlignment="1" applyProtection="1">
      <alignment horizontal="center"/>
      <protection hidden="1"/>
    </xf>
    <xf numFmtId="0" fontId="45" fillId="0" borderId="0" xfId="0" applyFont="1"/>
    <xf numFmtId="0" fontId="3" fillId="0" borderId="0" xfId="0" applyFont="1" applyAlignment="1">
      <alignment horizontal="center"/>
    </xf>
    <xf numFmtId="0" fontId="45" fillId="0" borderId="0" xfId="0" applyFont="1" applyProtection="1">
      <protection hidden="1"/>
    </xf>
    <xf numFmtId="0" fontId="23" fillId="0" borderId="4" xfId="0" applyFont="1" applyBorder="1" applyAlignment="1" applyProtection="1">
      <alignment horizontal="center" vertical="center"/>
      <protection hidden="1"/>
    </xf>
    <xf numFmtId="167" fontId="32" fillId="0" borderId="0" xfId="2" applyNumberFormat="1" applyFont="1" applyBorder="1" applyAlignment="1" applyProtection="1">
      <alignment horizontal="left"/>
      <protection hidden="1"/>
    </xf>
    <xf numFmtId="0" fontId="32" fillId="0" borderId="0" xfId="0" applyFont="1" applyAlignment="1">
      <alignment horizontal="left"/>
    </xf>
    <xf numFmtId="0" fontId="3" fillId="0" borderId="4" xfId="0" applyFont="1" applyBorder="1" applyAlignment="1">
      <alignment horizontal="center"/>
    </xf>
    <xf numFmtId="167" fontId="3" fillId="0" borderId="4" xfId="2" applyNumberFormat="1" applyFont="1" applyBorder="1" applyAlignment="1" applyProtection="1">
      <alignment horizontal="center"/>
    </xf>
    <xf numFmtId="167" fontId="3" fillId="0" borderId="1" xfId="2" applyNumberFormat="1" applyFont="1" applyBorder="1" applyAlignment="1" applyProtection="1">
      <alignment horizontal="center"/>
    </xf>
    <xf numFmtId="0" fontId="3" fillId="0" borderId="17" xfId="0" applyFont="1" applyBorder="1" applyAlignment="1">
      <alignment horizontal="center" wrapText="1"/>
    </xf>
    <xf numFmtId="0" fontId="25" fillId="0" borderId="3" xfId="0" applyFont="1" applyBorder="1" applyAlignment="1" applyProtection="1">
      <alignment vertical="top"/>
      <protection hidden="1"/>
    </xf>
    <xf numFmtId="0" fontId="0" fillId="0" borderId="0" xfId="0" applyAlignment="1">
      <alignment wrapText="1"/>
    </xf>
    <xf numFmtId="0" fontId="11" fillId="6" borderId="0" xfId="0" applyFont="1" applyFill="1" applyAlignment="1">
      <alignment horizontal="center" vertical="center"/>
    </xf>
    <xf numFmtId="0" fontId="0" fillId="6" borderId="0" xfId="0" applyFill="1" applyAlignment="1" applyProtection="1">
      <alignment horizontal="center"/>
      <protection hidden="1"/>
    </xf>
    <xf numFmtId="0" fontId="10" fillId="0" borderId="0" xfId="0" applyFont="1" applyAlignment="1" applyProtection="1">
      <alignment horizontal="left"/>
      <protection hidden="1"/>
    </xf>
    <xf numFmtId="167" fontId="2" fillId="0" borderId="0" xfId="2" applyNumberFormat="1" applyFont="1" applyFill="1" applyBorder="1" applyAlignment="1" applyProtection="1">
      <protection hidden="1"/>
    </xf>
    <xf numFmtId="167" fontId="0" fillId="0" borderId="0" xfId="2" applyNumberFormat="1" applyFont="1" applyFill="1" applyBorder="1" applyProtection="1"/>
    <xf numFmtId="167" fontId="15" fillId="0" borderId="0" xfId="2" applyNumberFormat="1" applyFont="1" applyFill="1" applyBorder="1" applyAlignment="1" applyProtection="1">
      <alignment horizontal="center" vertical="center"/>
      <protection hidden="1"/>
    </xf>
    <xf numFmtId="167" fontId="32" fillId="0" borderId="0" xfId="2" applyNumberFormat="1" applyFont="1" applyFill="1" applyBorder="1" applyAlignment="1" applyProtection="1">
      <alignment horizontal="left"/>
      <protection hidden="1"/>
    </xf>
    <xf numFmtId="0" fontId="11" fillId="0" borderId="0" xfId="0" applyFont="1" applyAlignment="1">
      <alignment horizontal="left" vertical="center"/>
    </xf>
    <xf numFmtId="0" fontId="22" fillId="0" borderId="3" xfId="0" applyFont="1" applyBorder="1" applyProtection="1">
      <protection hidden="1"/>
    </xf>
    <xf numFmtId="0" fontId="30" fillId="0" borderId="0" xfId="0" applyFont="1" applyAlignment="1" applyProtection="1">
      <alignment vertical="top"/>
      <protection hidden="1"/>
    </xf>
    <xf numFmtId="44" fontId="11" fillId="0" borderId="0" xfId="2" applyFont="1" applyBorder="1" applyAlignment="1" applyProtection="1">
      <alignment horizontal="center"/>
      <protection hidden="1"/>
    </xf>
    <xf numFmtId="166" fontId="0" fillId="0" borderId="0" xfId="1" applyNumberFormat="1" applyFont="1" applyFill="1" applyBorder="1" applyProtection="1">
      <protection hidden="1"/>
    </xf>
    <xf numFmtId="0" fontId="48" fillId="0" borderId="0" xfId="0" applyFont="1" applyAlignment="1" applyProtection="1">
      <alignment horizontal="left" vertical="top"/>
      <protection hidden="1"/>
    </xf>
    <xf numFmtId="0" fontId="35" fillId="0" borderId="0" xfId="0" applyFont="1" applyProtection="1">
      <protection hidden="1"/>
    </xf>
    <xf numFmtId="0" fontId="22" fillId="0" borderId="0" xfId="0" applyFont="1" applyAlignment="1" applyProtection="1">
      <alignment vertical="center"/>
      <protection hidden="1"/>
    </xf>
    <xf numFmtId="0" fontId="32" fillId="0" borderId="0" xfId="0" applyFont="1"/>
    <xf numFmtId="44" fontId="26" fillId="0" borderId="0" xfId="2" applyFont="1" applyBorder="1" applyProtection="1"/>
    <xf numFmtId="167" fontId="35" fillId="0" borderId="4" xfId="2" applyNumberFormat="1" applyFont="1" applyFill="1" applyBorder="1" applyAlignment="1" applyProtection="1">
      <alignment horizontal="center"/>
    </xf>
    <xf numFmtId="167" fontId="35" fillId="0" borderId="1" xfId="2" applyNumberFormat="1" applyFont="1" applyFill="1" applyBorder="1" applyAlignment="1" applyProtection="1">
      <alignment horizontal="center"/>
    </xf>
    <xf numFmtId="0" fontId="15" fillId="0" borderId="4" xfId="0" applyFont="1" applyBorder="1" applyAlignment="1" applyProtection="1">
      <alignment horizontal="left"/>
      <protection hidden="1"/>
    </xf>
    <xf numFmtId="0" fontId="38" fillId="0" borderId="11" xfId="0" applyFont="1" applyBorder="1" applyAlignment="1">
      <alignment horizontal="left" vertical="center"/>
    </xf>
    <xf numFmtId="0" fontId="11" fillId="2" borderId="28" xfId="0" applyFont="1" applyFill="1" applyBorder="1" applyAlignment="1">
      <alignment horizontal="left" vertical="center"/>
    </xf>
    <xf numFmtId="0" fontId="0" fillId="2" borderId="13" xfId="0" applyFill="1" applyBorder="1" applyAlignment="1" applyProtection="1">
      <alignment horizontal="center"/>
      <protection hidden="1"/>
    </xf>
    <xf numFmtId="0" fontId="0" fillId="2" borderId="13" xfId="0" applyFill="1" applyBorder="1" applyProtection="1">
      <protection hidden="1"/>
    </xf>
    <xf numFmtId="0" fontId="15" fillId="2" borderId="13" xfId="0" applyFont="1" applyFill="1" applyBorder="1" applyAlignment="1" applyProtection="1">
      <alignment vertical="top"/>
      <protection hidden="1"/>
    </xf>
    <xf numFmtId="8" fontId="15" fillId="2" borderId="13" xfId="0" applyNumberFormat="1" applyFont="1" applyFill="1" applyBorder="1" applyAlignment="1" applyProtection="1">
      <alignment horizontal="center" vertical="center"/>
      <protection hidden="1"/>
    </xf>
    <xf numFmtId="167" fontId="0" fillId="2" borderId="13" xfId="2" applyNumberFormat="1" applyFont="1" applyFill="1" applyBorder="1" applyAlignment="1" applyProtection="1">
      <protection hidden="1"/>
    </xf>
    <xf numFmtId="0" fontId="25" fillId="6" borderId="0" xfId="0" applyFont="1" applyFill="1" applyAlignment="1" applyProtection="1">
      <alignment vertical="top"/>
      <protection hidden="1"/>
    </xf>
    <xf numFmtId="0" fontId="2" fillId="9" borderId="0" xfId="0" applyFont="1" applyFill="1"/>
    <xf numFmtId="0" fontId="50" fillId="10" borderId="29" xfId="0" applyFont="1" applyFill="1" applyBorder="1" applyAlignment="1">
      <alignment horizontal="center"/>
    </xf>
    <xf numFmtId="0" fontId="32" fillId="0" borderId="0" xfId="0" applyFont="1" applyAlignment="1">
      <alignment horizontal="right"/>
    </xf>
    <xf numFmtId="0" fontId="49" fillId="10" borderId="30" xfId="4" applyFill="1" applyBorder="1" applyAlignment="1" applyProtection="1">
      <alignment horizontal="center" vertical="center"/>
      <protection locked="0"/>
    </xf>
    <xf numFmtId="0" fontId="2" fillId="0" borderId="0" xfId="0" applyFont="1" applyAlignment="1">
      <alignment horizontal="center"/>
    </xf>
    <xf numFmtId="0" fontId="50" fillId="0" borderId="0" xfId="0" applyFont="1"/>
    <xf numFmtId="0" fontId="0" fillId="0" borderId="11" xfId="0" applyBorder="1"/>
    <xf numFmtId="8" fontId="13" fillId="0" borderId="0" xfId="0" applyNumberFormat="1" applyFont="1" applyAlignment="1" applyProtection="1">
      <alignment vertical="top"/>
      <protection hidden="1"/>
    </xf>
    <xf numFmtId="0" fontId="49" fillId="0" borderId="0" xfId="4" applyFill="1" applyBorder="1" applyAlignment="1" applyProtection="1">
      <alignment horizontal="center" vertical="center"/>
    </xf>
    <xf numFmtId="0" fontId="0" fillId="0" borderId="11" xfId="0" applyBorder="1" applyAlignment="1">
      <alignment horizontal="center"/>
    </xf>
    <xf numFmtId="0" fontId="4" fillId="12" borderId="0" xfId="0" applyFont="1" applyFill="1" applyAlignment="1" applyProtection="1">
      <alignment horizontal="center"/>
      <protection hidden="1"/>
    </xf>
    <xf numFmtId="0" fontId="4" fillId="12" borderId="0" xfId="0" applyFont="1" applyFill="1" applyProtection="1">
      <protection hidden="1"/>
    </xf>
    <xf numFmtId="0" fontId="14" fillId="12" borderId="0" xfId="0" applyFont="1" applyFill="1" applyAlignment="1" applyProtection="1">
      <alignment vertical="top"/>
      <protection hidden="1"/>
    </xf>
    <xf numFmtId="8" fontId="14" fillId="12" borderId="0" xfId="0" applyNumberFormat="1" applyFont="1" applyFill="1" applyAlignment="1" applyProtection="1">
      <alignment horizontal="center" vertical="center"/>
      <protection hidden="1"/>
    </xf>
    <xf numFmtId="167" fontId="4" fillId="12" borderId="0" xfId="2" applyNumberFormat="1" applyFont="1" applyFill="1" applyBorder="1" applyAlignment="1" applyProtection="1">
      <protection hidden="1"/>
    </xf>
    <xf numFmtId="0" fontId="16" fillId="12" borderId="0" xfId="0" applyFont="1" applyFill="1" applyAlignment="1">
      <alignment vertical="center"/>
    </xf>
    <xf numFmtId="8" fontId="17" fillId="12" borderId="0" xfId="0" applyNumberFormat="1" applyFont="1" applyFill="1" applyAlignment="1" applyProtection="1">
      <alignment horizontal="center" vertical="center"/>
      <protection hidden="1"/>
    </xf>
    <xf numFmtId="0" fontId="16" fillId="12" borderId="0" xfId="0" applyFont="1" applyFill="1" applyAlignment="1">
      <alignment horizontal="right" vertical="center"/>
    </xf>
    <xf numFmtId="0" fontId="4" fillId="12" borderId="0" xfId="0" applyFont="1" applyFill="1"/>
    <xf numFmtId="0" fontId="54" fillId="12" borderId="0" xfId="0" applyFont="1" applyFill="1" applyAlignment="1">
      <alignment vertical="center"/>
    </xf>
    <xf numFmtId="0" fontId="39" fillId="0" borderId="0" xfId="0" applyFont="1" applyAlignment="1">
      <alignment horizontal="left"/>
    </xf>
    <xf numFmtId="0" fontId="55" fillId="0" borderId="0" xfId="0" applyFont="1" applyAlignment="1">
      <alignment vertical="center"/>
    </xf>
    <xf numFmtId="0" fontId="53" fillId="12" borderId="0" xfId="0" applyFont="1" applyFill="1" applyAlignment="1">
      <alignment horizontal="left"/>
    </xf>
    <xf numFmtId="0" fontId="21" fillId="0" borderId="2" xfId="0" applyFont="1" applyBorder="1" applyAlignment="1" applyProtection="1">
      <alignment vertical="top"/>
      <protection hidden="1"/>
    </xf>
    <xf numFmtId="0" fontId="11" fillId="6" borderId="0" xfId="0" applyFont="1" applyFill="1" applyAlignment="1" applyProtection="1">
      <alignment horizontal="center" vertical="center"/>
      <protection hidden="1"/>
    </xf>
    <xf numFmtId="0" fontId="11" fillId="2" borderId="1" xfId="0" applyFont="1" applyFill="1" applyBorder="1" applyAlignment="1" applyProtection="1">
      <alignment horizontal="left" vertical="center"/>
      <protection hidden="1"/>
    </xf>
    <xf numFmtId="0" fontId="49" fillId="10" borderId="31" xfId="4" applyFill="1" applyBorder="1" applyAlignment="1" applyProtection="1">
      <alignment horizontal="center" vertical="center"/>
      <protection locked="0"/>
    </xf>
    <xf numFmtId="0" fontId="0" fillId="0" borderId="0" xfId="0" applyProtection="1">
      <protection locked="0"/>
    </xf>
    <xf numFmtId="0" fontId="11" fillId="0" borderId="0" xfId="0" applyFont="1" applyAlignment="1" applyProtection="1">
      <alignment vertical="center"/>
      <protection locked="0"/>
    </xf>
    <xf numFmtId="0" fontId="50" fillId="10" borderId="29" xfId="0" applyFont="1" applyFill="1" applyBorder="1" applyAlignment="1" applyProtection="1">
      <alignment horizontal="center"/>
      <protection hidden="1"/>
    </xf>
    <xf numFmtId="0" fontId="52" fillId="0" borderId="0" xfId="0" applyFont="1" applyAlignment="1" applyProtection="1">
      <alignment vertical="center" textRotation="90"/>
      <protection hidden="1"/>
    </xf>
    <xf numFmtId="0" fontId="52" fillId="0" borderId="0" xfId="0" applyFont="1" applyAlignment="1" applyProtection="1">
      <alignment vertical="center" textRotation="90" wrapText="1"/>
      <protection hidden="1"/>
    </xf>
    <xf numFmtId="0" fontId="20" fillId="0" borderId="0" xfId="0" applyFont="1" applyProtection="1">
      <protection hidden="1"/>
    </xf>
    <xf numFmtId="44" fontId="0" fillId="0" borderId="0" xfId="2" applyFont="1"/>
    <xf numFmtId="44" fontId="0" fillId="0" borderId="7" xfId="2" applyFont="1" applyBorder="1"/>
    <xf numFmtId="44" fontId="3" fillId="13" borderId="12" xfId="2" applyFont="1" applyFill="1" applyBorder="1" applyAlignment="1">
      <alignment horizontal="center"/>
    </xf>
    <xf numFmtId="0" fontId="3" fillId="13" borderId="12" xfId="0" applyFont="1" applyFill="1" applyBorder="1" applyAlignment="1">
      <alignment horizontal="center"/>
    </xf>
    <xf numFmtId="0" fontId="3" fillId="13" borderId="11" xfId="0" applyFont="1" applyFill="1" applyBorder="1" applyAlignment="1">
      <alignment horizontal="center"/>
    </xf>
    <xf numFmtId="44" fontId="0" fillId="13" borderId="0" xfId="2" applyFont="1" applyFill="1"/>
    <xf numFmtId="0" fontId="0" fillId="13" borderId="0" xfId="0" applyFill="1"/>
    <xf numFmtId="0" fontId="50" fillId="13" borderId="0" xfId="0" applyFont="1" applyFill="1"/>
    <xf numFmtId="0" fontId="51" fillId="0" borderId="0" xfId="0" applyFont="1" applyAlignment="1" applyProtection="1">
      <alignment horizontal="center" vertical="center"/>
      <protection hidden="1"/>
    </xf>
    <xf numFmtId="0" fontId="51" fillId="0" borderId="0" xfId="0" applyFont="1" applyAlignment="1" applyProtection="1">
      <alignment vertical="center"/>
      <protection hidden="1"/>
    </xf>
    <xf numFmtId="0" fontId="46" fillId="0" borderId="0" xfId="0" applyFont="1" applyProtection="1">
      <protection hidden="1"/>
    </xf>
    <xf numFmtId="9" fontId="0" fillId="14" borderId="0" xfId="0" applyNumberFormat="1" applyFill="1"/>
    <xf numFmtId="9" fontId="0" fillId="15" borderId="6" xfId="0" applyNumberFormat="1" applyFill="1" applyBorder="1"/>
    <xf numFmtId="0" fontId="11" fillId="2" borderId="4" xfId="2" applyNumberFormat="1" applyFont="1" applyFill="1" applyBorder="1" applyAlignment="1" applyProtection="1">
      <alignment horizontal="center" vertical="center"/>
      <protection hidden="1"/>
    </xf>
    <xf numFmtId="0" fontId="0" fillId="0" borderId="5" xfId="0" applyBorder="1"/>
    <xf numFmtId="0" fontId="11" fillId="0" borderId="5" xfId="0" applyFont="1" applyBorder="1" applyAlignment="1" applyProtection="1">
      <alignment horizontal="center" vertical="center"/>
      <protection hidden="1"/>
    </xf>
    <xf numFmtId="167" fontId="16" fillId="6" borderId="5" xfId="2" applyNumberFormat="1" applyFont="1" applyFill="1" applyBorder="1" applyAlignment="1" applyProtection="1">
      <alignment horizontal="center" vertical="center"/>
      <protection hidden="1"/>
    </xf>
    <xf numFmtId="167" fontId="11" fillId="7" borderId="5" xfId="2" applyNumberFormat="1" applyFont="1" applyFill="1" applyBorder="1" applyAlignment="1" applyProtection="1">
      <alignment horizontal="center" vertical="center"/>
      <protection hidden="1"/>
    </xf>
    <xf numFmtId="167" fontId="0" fillId="0" borderId="5" xfId="2" applyNumberFormat="1" applyFont="1" applyBorder="1" applyAlignment="1" applyProtection="1">
      <alignment horizontal="center"/>
      <protection hidden="1"/>
    </xf>
    <xf numFmtId="8" fontId="26" fillId="0" borderId="5" xfId="0" applyNumberFormat="1" applyFont="1" applyBorder="1" applyAlignment="1">
      <alignment horizontal="center"/>
    </xf>
    <xf numFmtId="167" fontId="0" fillId="0" borderId="5" xfId="2" applyNumberFormat="1" applyFont="1" applyFill="1" applyBorder="1" applyAlignment="1" applyProtection="1">
      <alignment horizontal="center"/>
      <protection hidden="1"/>
    </xf>
    <xf numFmtId="167" fontId="26" fillId="0" borderId="5" xfId="2" applyNumberFormat="1" applyFont="1" applyBorder="1" applyAlignment="1" applyProtection="1">
      <alignment horizontal="center"/>
      <protection hidden="1"/>
    </xf>
    <xf numFmtId="167" fontId="26" fillId="0" borderId="5" xfId="2" applyNumberFormat="1" applyFont="1" applyFill="1" applyBorder="1" applyAlignment="1" applyProtection="1">
      <alignment horizontal="center"/>
      <protection hidden="1"/>
    </xf>
    <xf numFmtId="167" fontId="2" fillId="0" borderId="5" xfId="2" applyNumberFormat="1" applyFont="1" applyBorder="1" applyAlignment="1" applyProtection="1">
      <alignment horizontal="center"/>
      <protection hidden="1"/>
    </xf>
    <xf numFmtId="0" fontId="0" fillId="0" borderId="5" xfId="0" applyBorder="1" applyAlignment="1">
      <alignment horizontal="center"/>
    </xf>
    <xf numFmtId="167" fontId="32" fillId="0" borderId="5" xfId="2" applyNumberFormat="1" applyFont="1" applyBorder="1" applyAlignment="1" applyProtection="1">
      <alignment horizontal="center"/>
      <protection hidden="1"/>
    </xf>
    <xf numFmtId="0" fontId="26" fillId="0" borderId="5" xfId="0" applyFont="1" applyBorder="1" applyAlignment="1">
      <alignment horizontal="center"/>
    </xf>
    <xf numFmtId="0" fontId="11" fillId="0" borderId="5" xfId="0" applyFont="1" applyBorder="1" applyAlignment="1">
      <alignment horizontal="center" vertical="center"/>
    </xf>
    <xf numFmtId="0" fontId="26" fillId="0" borderId="5" xfId="0" applyFont="1" applyBorder="1"/>
    <xf numFmtId="8" fontId="0" fillId="0" borderId="5" xfId="0" applyNumberFormat="1" applyBorder="1" applyAlignment="1">
      <alignment horizontal="center"/>
    </xf>
    <xf numFmtId="167" fontId="11" fillId="2" borderId="4" xfId="2" applyNumberFormat="1" applyFont="1" applyFill="1" applyBorder="1" applyAlignment="1" applyProtection="1">
      <alignment horizontal="center" vertical="center"/>
      <protection hidden="1"/>
    </xf>
    <xf numFmtId="167" fontId="0" fillId="0" borderId="5" xfId="2" applyNumberFormat="1" applyFont="1" applyBorder="1" applyAlignment="1" applyProtection="1">
      <alignment horizontal="center"/>
    </xf>
    <xf numFmtId="44" fontId="1" fillId="0" borderId="5" xfId="2" applyFont="1" applyBorder="1" applyAlignment="1" applyProtection="1">
      <alignment horizontal="center"/>
      <protection hidden="1"/>
    </xf>
    <xf numFmtId="44" fontId="1" fillId="7" borderId="5" xfId="2" applyFont="1" applyFill="1" applyBorder="1" applyAlignment="1" applyProtection="1">
      <alignment horizontal="center"/>
      <protection hidden="1"/>
    </xf>
    <xf numFmtId="44" fontId="11" fillId="2" borderId="32" xfId="2" applyFont="1" applyFill="1" applyBorder="1" applyAlignment="1" applyProtection="1">
      <alignment horizontal="center" vertical="center"/>
      <protection hidden="1"/>
    </xf>
    <xf numFmtId="0" fontId="11" fillId="0" borderId="7" xfId="0" applyFont="1" applyBorder="1" applyAlignment="1" applyProtection="1">
      <alignment horizontal="center" vertical="center"/>
      <protection hidden="1"/>
    </xf>
    <xf numFmtId="167" fontId="16" fillId="6" borderId="7" xfId="2" applyNumberFormat="1" applyFont="1" applyFill="1" applyBorder="1" applyAlignment="1" applyProtection="1">
      <alignment horizontal="center" vertical="center"/>
      <protection hidden="1"/>
    </xf>
    <xf numFmtId="167" fontId="11" fillId="7" borderId="7" xfId="2" applyNumberFormat="1" applyFont="1" applyFill="1" applyBorder="1" applyAlignment="1" applyProtection="1">
      <alignment horizontal="center" vertical="center"/>
      <protection hidden="1"/>
    </xf>
    <xf numFmtId="167" fontId="0" fillId="0" borderId="7" xfId="2" applyNumberFormat="1" applyFont="1" applyBorder="1" applyAlignment="1" applyProtection="1">
      <alignment horizontal="center"/>
      <protection hidden="1"/>
    </xf>
    <xf numFmtId="167" fontId="26" fillId="0" borderId="7" xfId="2" applyNumberFormat="1" applyFont="1" applyBorder="1" applyAlignment="1" applyProtection="1">
      <alignment horizontal="center"/>
      <protection hidden="1"/>
    </xf>
    <xf numFmtId="167" fontId="0" fillId="0" borderId="7" xfId="2" applyNumberFormat="1" applyFont="1" applyFill="1" applyBorder="1" applyAlignment="1" applyProtection="1">
      <alignment horizontal="center"/>
      <protection hidden="1"/>
    </xf>
    <xf numFmtId="167" fontId="26" fillId="0" borderId="7" xfId="2" applyNumberFormat="1" applyFont="1" applyFill="1" applyBorder="1" applyAlignment="1" applyProtection="1">
      <alignment horizontal="center"/>
      <protection hidden="1"/>
    </xf>
    <xf numFmtId="0" fontId="0" fillId="0" borderId="7" xfId="0" applyBorder="1" applyAlignment="1">
      <alignment horizontal="center"/>
    </xf>
    <xf numFmtId="167" fontId="0" fillId="0" borderId="7" xfId="2" applyNumberFormat="1" applyFont="1" applyBorder="1" applyAlignment="1" applyProtection="1">
      <alignment horizontal="center"/>
    </xf>
    <xf numFmtId="167" fontId="32" fillId="0" borderId="7" xfId="2" applyNumberFormat="1" applyFont="1" applyBorder="1" applyAlignment="1" applyProtection="1">
      <alignment horizontal="center"/>
      <protection hidden="1"/>
    </xf>
    <xf numFmtId="0" fontId="11" fillId="0" borderId="7" xfId="0" applyFont="1" applyBorder="1" applyAlignment="1">
      <alignment horizontal="center" vertical="center"/>
    </xf>
    <xf numFmtId="0" fontId="45" fillId="0" borderId="7" xfId="0" applyFont="1" applyBorder="1"/>
    <xf numFmtId="0" fontId="26" fillId="0" borderId="7" xfId="0" applyFont="1" applyBorder="1"/>
    <xf numFmtId="167" fontId="11" fillId="2" borderId="3" xfId="2" applyNumberFormat="1" applyFont="1" applyFill="1" applyBorder="1" applyAlignment="1" applyProtection="1">
      <alignment horizontal="center" vertical="center"/>
      <protection hidden="1"/>
    </xf>
    <xf numFmtId="44" fontId="1" fillId="0" borderId="7" xfId="2" applyFont="1" applyBorder="1" applyAlignment="1" applyProtection="1">
      <alignment horizontal="center"/>
      <protection hidden="1"/>
    </xf>
    <xf numFmtId="44" fontId="1" fillId="7" borderId="7" xfId="2" applyFont="1" applyFill="1" applyBorder="1" applyAlignment="1" applyProtection="1">
      <alignment horizontal="center"/>
      <protection hidden="1"/>
    </xf>
    <xf numFmtId="44" fontId="11" fillId="2" borderId="8" xfId="2" applyFont="1" applyFill="1" applyBorder="1" applyAlignment="1" applyProtection="1">
      <alignment horizontal="center" vertical="center"/>
      <protection hidden="1"/>
    </xf>
    <xf numFmtId="167" fontId="4" fillId="0" borderId="7" xfId="2" applyNumberFormat="1" applyFont="1" applyBorder="1" applyAlignment="1" applyProtection="1">
      <alignment horizontal="center"/>
      <protection hidden="1"/>
    </xf>
    <xf numFmtId="0" fontId="26" fillId="0" borderId="7" xfId="0" applyFont="1" applyBorder="1" applyAlignment="1">
      <alignment horizontal="center"/>
    </xf>
    <xf numFmtId="167" fontId="45" fillId="0" borderId="7" xfId="2" applyNumberFormat="1" applyFont="1" applyFill="1" applyBorder="1" applyAlignment="1" applyProtection="1">
      <alignment horizontal="center"/>
      <protection hidden="1"/>
    </xf>
    <xf numFmtId="8" fontId="14" fillId="0" borderId="5" xfId="0" applyNumberFormat="1" applyFont="1" applyBorder="1" applyAlignment="1" applyProtection="1">
      <alignment horizontal="center" vertical="center"/>
      <protection hidden="1"/>
    </xf>
    <xf numFmtId="8" fontId="14" fillId="0" borderId="7" xfId="0" applyNumberFormat="1" applyFont="1" applyBorder="1" applyAlignment="1" applyProtection="1">
      <alignment horizontal="center" vertical="center"/>
      <protection hidden="1"/>
    </xf>
    <xf numFmtId="167" fontId="45" fillId="0" borderId="7" xfId="2" applyNumberFormat="1" applyFont="1" applyBorder="1" applyAlignment="1" applyProtection="1">
      <alignment horizontal="center"/>
      <protection hidden="1"/>
    </xf>
    <xf numFmtId="167" fontId="16" fillId="12" borderId="5" xfId="2" applyNumberFormat="1" applyFont="1" applyFill="1" applyBorder="1" applyAlignment="1" applyProtection="1">
      <alignment horizontal="center" vertical="center"/>
      <protection hidden="1"/>
    </xf>
    <xf numFmtId="167" fontId="4" fillId="12" borderId="5" xfId="2" applyNumberFormat="1" applyFont="1" applyFill="1" applyBorder="1" applyAlignment="1" applyProtection="1">
      <alignment horizontal="center"/>
      <protection hidden="1"/>
    </xf>
    <xf numFmtId="167" fontId="16" fillId="12" borderId="7" xfId="2" applyNumberFormat="1" applyFont="1" applyFill="1" applyBorder="1" applyAlignment="1" applyProtection="1">
      <alignment horizontal="center" vertical="center"/>
      <protection hidden="1"/>
    </xf>
    <xf numFmtId="167" fontId="4" fillId="12" borderId="7" xfId="2" applyNumberFormat="1" applyFont="1" applyFill="1" applyBorder="1" applyAlignment="1" applyProtection="1">
      <alignment horizontal="center"/>
      <protection hidden="1"/>
    </xf>
    <xf numFmtId="6" fontId="0" fillId="0" borderId="0" xfId="0" applyNumberFormat="1"/>
    <xf numFmtId="6" fontId="0" fillId="0" borderId="0" xfId="0" applyNumberFormat="1" applyAlignment="1">
      <alignment horizontal="right"/>
    </xf>
    <xf numFmtId="0" fontId="3" fillId="0" borderId="0" xfId="0" applyFont="1" applyAlignment="1" applyProtection="1">
      <alignment vertical="top"/>
      <protection hidden="1"/>
    </xf>
    <xf numFmtId="0" fontId="21" fillId="7" borderId="0" xfId="0" applyFont="1" applyFill="1" applyAlignment="1" applyProtection="1">
      <alignment vertical="top"/>
      <protection hidden="1"/>
    </xf>
    <xf numFmtId="8" fontId="22" fillId="7" borderId="0" xfId="0" applyNumberFormat="1" applyFont="1" applyFill="1" applyAlignment="1" applyProtection="1">
      <alignment horizontal="center" vertical="center"/>
      <protection hidden="1"/>
    </xf>
    <xf numFmtId="0" fontId="29" fillId="7" borderId="0" xfId="0" applyFont="1" applyFill="1" applyAlignment="1">
      <alignment horizontal="right" vertical="center"/>
    </xf>
    <xf numFmtId="167" fontId="29" fillId="7" borderId="5" xfId="2" applyNumberFormat="1" applyFont="1" applyFill="1" applyBorder="1" applyAlignment="1" applyProtection="1">
      <alignment horizontal="center" vertical="center"/>
      <protection hidden="1"/>
    </xf>
    <xf numFmtId="167" fontId="29" fillId="7" borderId="7" xfId="2" applyNumberFormat="1" applyFont="1" applyFill="1" applyBorder="1" applyAlignment="1" applyProtection="1">
      <alignment horizontal="center" vertical="center"/>
      <protection hidden="1"/>
    </xf>
    <xf numFmtId="0" fontId="35" fillId="0" borderId="0" xfId="0" applyFont="1" applyAlignment="1">
      <alignment horizontal="left"/>
    </xf>
    <xf numFmtId="0" fontId="57" fillId="0" borderId="0" xfId="0" applyFont="1" applyAlignment="1">
      <alignment horizontal="right"/>
    </xf>
    <xf numFmtId="167" fontId="35" fillId="0" borderId="33" xfId="2" applyNumberFormat="1" applyFont="1" applyBorder="1" applyAlignment="1" applyProtection="1">
      <alignment horizontal="center" wrapText="1"/>
    </xf>
    <xf numFmtId="167" fontId="35" fillId="0" borderId="34" xfId="2" applyNumberFormat="1" applyFont="1" applyBorder="1" applyAlignment="1" applyProtection="1">
      <alignment horizontal="center"/>
    </xf>
    <xf numFmtId="167" fontId="3" fillId="0" borderId="34" xfId="2" applyNumberFormat="1" applyFont="1" applyBorder="1" applyAlignment="1" applyProtection="1">
      <alignment horizontal="center"/>
    </xf>
    <xf numFmtId="167" fontId="35" fillId="0" borderId="34" xfId="2" applyNumberFormat="1" applyFont="1" applyFill="1" applyBorder="1" applyAlignment="1" applyProtection="1">
      <alignment horizontal="center"/>
    </xf>
    <xf numFmtId="0" fontId="2" fillId="0" borderId="0" xfId="0" quotePrefix="1" applyFont="1"/>
    <xf numFmtId="0" fontId="26" fillId="0" borderId="0" xfId="0" applyFont="1" applyAlignment="1">
      <alignment horizontal="left"/>
    </xf>
    <xf numFmtId="44" fontId="26" fillId="0" borderId="0" xfId="0" applyNumberFormat="1" applyFont="1"/>
    <xf numFmtId="167" fontId="26" fillId="0" borderId="0" xfId="2" applyNumberFormat="1" applyFont="1" applyBorder="1" applyProtection="1"/>
    <xf numFmtId="0" fontId="35" fillId="0" borderId="0" xfId="0" applyFont="1" applyAlignment="1">
      <alignment vertical="top" wrapText="1"/>
    </xf>
    <xf numFmtId="9" fontId="15" fillId="0" borderId="0" xfId="3" applyFont="1" applyBorder="1" applyAlignment="1" applyProtection="1">
      <alignment horizontal="center" vertical="center"/>
      <protection hidden="1"/>
    </xf>
    <xf numFmtId="0" fontId="32" fillId="0" borderId="0" xfId="0" applyFont="1" applyProtection="1">
      <protection hidden="1"/>
    </xf>
    <xf numFmtId="8" fontId="20" fillId="6" borderId="0" xfId="0" applyNumberFormat="1" applyFont="1" applyFill="1" applyAlignment="1" applyProtection="1">
      <alignment horizontal="center" vertical="center"/>
      <protection hidden="1"/>
    </xf>
    <xf numFmtId="0" fontId="39" fillId="6" borderId="0" xfId="0" applyFont="1" applyFill="1" applyAlignment="1">
      <alignment horizontal="right" vertical="center"/>
    </xf>
    <xf numFmtId="0" fontId="25" fillId="0" borderId="0" xfId="0" applyFont="1" applyAlignment="1">
      <alignment vertical="top"/>
    </xf>
    <xf numFmtId="167" fontId="2" fillId="0" borderId="7" xfId="2" applyNumberFormat="1" applyFont="1" applyBorder="1" applyAlignment="1" applyProtection="1">
      <alignment horizontal="center"/>
      <protection hidden="1"/>
    </xf>
    <xf numFmtId="167" fontId="2" fillId="0" borderId="0" xfId="2" applyNumberFormat="1" applyFont="1" applyBorder="1" applyProtection="1">
      <protection hidden="1"/>
    </xf>
    <xf numFmtId="0" fontId="39" fillId="6" borderId="0" xfId="0" applyFont="1" applyFill="1" applyAlignment="1" applyProtection="1">
      <alignment horizontal="center" vertical="center"/>
      <protection hidden="1"/>
    </xf>
    <xf numFmtId="0" fontId="2" fillId="6" borderId="0" xfId="0" applyFont="1" applyFill="1" applyAlignment="1" applyProtection="1">
      <alignment horizontal="center"/>
      <protection hidden="1"/>
    </xf>
    <xf numFmtId="167" fontId="1" fillId="0" borderId="0" xfId="2" applyNumberFormat="1" applyFont="1" applyFill="1" applyBorder="1" applyProtection="1">
      <protection hidden="1"/>
    </xf>
    <xf numFmtId="44" fontId="1" fillId="0" borderId="5" xfId="2" applyFont="1" applyFill="1" applyBorder="1" applyAlignment="1" applyProtection="1">
      <alignment horizontal="center"/>
      <protection hidden="1"/>
    </xf>
    <xf numFmtId="44" fontId="1" fillId="0" borderId="7" xfId="2" applyFont="1" applyFill="1" applyBorder="1" applyAlignment="1" applyProtection="1">
      <alignment horizontal="center"/>
      <protection hidden="1"/>
    </xf>
    <xf numFmtId="0" fontId="2" fillId="0" borderId="5" xfId="0" applyFont="1" applyBorder="1"/>
    <xf numFmtId="0" fontId="2" fillId="0" borderId="7" xfId="0" applyFont="1" applyBorder="1"/>
    <xf numFmtId="0" fontId="21" fillId="0" borderId="0" xfId="0" applyFont="1" applyAlignment="1" applyProtection="1">
      <alignment vertical="center"/>
      <protection hidden="1"/>
    </xf>
    <xf numFmtId="0" fontId="21" fillId="0" borderId="3" xfId="0" applyFont="1" applyBorder="1" applyAlignment="1" applyProtection="1">
      <alignment horizontal="center"/>
      <protection hidden="1"/>
    </xf>
    <xf numFmtId="0" fontId="46" fillId="0" borderId="0" xfId="0" applyFont="1" applyAlignment="1" applyProtection="1">
      <alignment horizontal="right"/>
      <protection hidden="1"/>
    </xf>
    <xf numFmtId="0" fontId="60" fillId="0" borderId="0" xfId="0" applyFont="1" applyProtection="1">
      <protection hidden="1"/>
    </xf>
    <xf numFmtId="0" fontId="21" fillId="0" borderId="3" xfId="0" applyFont="1" applyBorder="1" applyAlignment="1" applyProtection="1">
      <alignment horizontal="left" indent="3"/>
      <protection hidden="1"/>
    </xf>
    <xf numFmtId="167" fontId="0" fillId="0" borderId="35" xfId="2" applyNumberFormat="1" applyFont="1" applyBorder="1" applyProtection="1"/>
    <xf numFmtId="0" fontId="0" fillId="0" borderId="35" xfId="0" applyBorder="1"/>
    <xf numFmtId="167" fontId="21" fillId="0" borderId="4" xfId="0" applyNumberFormat="1" applyFont="1" applyBorder="1" applyAlignment="1" applyProtection="1">
      <alignment horizontal="center" vertical="center"/>
      <protection hidden="1"/>
    </xf>
    <xf numFmtId="0" fontId="21" fillId="0" borderId="14" xfId="0" applyFont="1" applyBorder="1" applyProtection="1">
      <protection hidden="1"/>
    </xf>
    <xf numFmtId="0" fontId="21" fillId="0" borderId="4" xfId="0" applyFont="1" applyBorder="1" applyAlignment="1" applyProtection="1">
      <alignment horizontal="left" indent="3"/>
      <protection hidden="1"/>
    </xf>
    <xf numFmtId="0" fontId="21" fillId="0" borderId="1" xfId="0" applyFont="1" applyBorder="1" applyAlignment="1" applyProtection="1">
      <alignment horizontal="left" indent="3"/>
      <protection hidden="1"/>
    </xf>
    <xf numFmtId="0" fontId="20" fillId="0" borderId="0" xfId="0" applyFont="1" applyAlignment="1">
      <alignment vertical="top"/>
    </xf>
    <xf numFmtId="0" fontId="57" fillId="0" borderId="0" xfId="0" applyFont="1" applyProtection="1">
      <protection hidden="1"/>
    </xf>
    <xf numFmtId="0" fontId="29" fillId="7" borderId="0" xfId="0" applyFont="1" applyFill="1" applyAlignment="1">
      <alignment horizontal="center" vertical="center"/>
    </xf>
    <xf numFmtId="0" fontId="62" fillId="7" borderId="0" xfId="0" applyFont="1" applyFill="1" applyAlignment="1">
      <alignment horizontal="center" vertical="center"/>
    </xf>
    <xf numFmtId="0" fontId="62" fillId="7" borderId="0" xfId="0" applyFont="1" applyFill="1" applyAlignment="1">
      <alignment vertical="center"/>
    </xf>
    <xf numFmtId="167" fontId="35" fillId="0" borderId="5" xfId="2" applyNumberFormat="1" applyFont="1" applyBorder="1" applyAlignment="1" applyProtection="1">
      <alignment horizontal="center"/>
      <protection hidden="1"/>
    </xf>
    <xf numFmtId="167" fontId="35" fillId="0" borderId="7" xfId="2" applyNumberFormat="1" applyFont="1" applyBorder="1" applyAlignment="1" applyProtection="1">
      <alignment horizontal="center"/>
      <protection hidden="1"/>
    </xf>
    <xf numFmtId="0" fontId="63" fillId="0" borderId="0" xfId="0" applyFont="1" applyProtection="1">
      <protection hidden="1"/>
    </xf>
    <xf numFmtId="0" fontId="64" fillId="0" borderId="0" xfId="0" applyFont="1" applyProtection="1">
      <protection hidden="1"/>
    </xf>
    <xf numFmtId="8" fontId="22" fillId="0" borderId="0" xfId="0" applyNumberFormat="1" applyFont="1" applyAlignment="1" applyProtection="1">
      <alignment horizontal="center" vertical="center"/>
      <protection hidden="1"/>
    </xf>
    <xf numFmtId="167" fontId="35" fillId="0" borderId="0" xfId="2" applyNumberFormat="1" applyFont="1" applyBorder="1" applyProtection="1">
      <protection hidden="1"/>
    </xf>
    <xf numFmtId="0" fontId="65" fillId="0" borderId="0" xfId="0" applyFont="1" applyProtection="1">
      <protection hidden="1"/>
    </xf>
    <xf numFmtId="0" fontId="66" fillId="0" borderId="0" xfId="0" applyFont="1" applyAlignment="1" applyProtection="1">
      <alignment horizontal="left" vertical="center"/>
      <protection hidden="1"/>
    </xf>
    <xf numFmtId="0" fontId="0" fillId="12" borderId="0" xfId="0" applyFill="1"/>
    <xf numFmtId="0" fontId="3" fillId="0" borderId="5" xfId="0" applyFont="1" applyBorder="1" applyProtection="1">
      <protection hidden="1"/>
    </xf>
    <xf numFmtId="44" fontId="0" fillId="0" borderId="0" xfId="0" applyNumberFormat="1" applyAlignment="1">
      <alignment horizontal="center"/>
    </xf>
    <xf numFmtId="0" fontId="3" fillId="8" borderId="5" xfId="0" applyFont="1" applyFill="1" applyBorder="1" applyProtection="1">
      <protection hidden="1"/>
    </xf>
    <xf numFmtId="0" fontId="21" fillId="0" borderId="0" xfId="0" applyFont="1" applyAlignment="1" applyProtection="1">
      <alignment horizontal="center" vertical="center"/>
      <protection hidden="1"/>
    </xf>
    <xf numFmtId="167" fontId="21" fillId="0" borderId="0" xfId="2" applyNumberFormat="1" applyFont="1" applyBorder="1" applyAlignment="1" applyProtection="1">
      <alignment horizontal="center" vertical="center"/>
      <protection hidden="1"/>
    </xf>
    <xf numFmtId="0" fontId="68" fillId="0" borderId="0" xfId="4" applyFont="1" applyFill="1" applyBorder="1" applyAlignment="1" applyProtection="1">
      <alignment horizontal="center" vertical="center"/>
      <protection locked="0"/>
    </xf>
    <xf numFmtId="8" fontId="26" fillId="0" borderId="0" xfId="0" applyNumberFormat="1" applyFont="1" applyAlignment="1" applyProtection="1">
      <alignment horizontal="center" vertical="center"/>
      <protection hidden="1"/>
    </xf>
    <xf numFmtId="8" fontId="26" fillId="7" borderId="0" xfId="0" applyNumberFormat="1" applyFont="1" applyFill="1" applyAlignment="1" applyProtection="1">
      <alignment horizontal="center" vertical="center"/>
      <protection hidden="1"/>
    </xf>
    <xf numFmtId="0" fontId="26" fillId="0" borderId="0" xfId="0" applyFont="1" applyAlignment="1">
      <alignment horizontal="left" indent="1"/>
    </xf>
    <xf numFmtId="0" fontId="0" fillId="0" borderId="0" xfId="0" applyAlignment="1" applyProtection="1">
      <alignment horizontal="center"/>
      <protection locked="0"/>
    </xf>
    <xf numFmtId="0" fontId="15" fillId="0" borderId="2" xfId="0" applyFont="1" applyBorder="1" applyAlignment="1" applyProtection="1">
      <alignment vertical="top"/>
      <protection hidden="1"/>
    </xf>
    <xf numFmtId="0" fontId="69" fillId="0" borderId="4" xfId="0" applyFont="1" applyBorder="1" applyAlignment="1" applyProtection="1">
      <alignment vertical="center"/>
      <protection hidden="1"/>
    </xf>
    <xf numFmtId="0" fontId="0" fillId="0" borderId="2" xfId="0" applyBorder="1"/>
    <xf numFmtId="0" fontId="0" fillId="0" borderId="3" xfId="0" applyBorder="1"/>
    <xf numFmtId="44" fontId="2" fillId="0" borderId="0" xfId="0" applyNumberFormat="1" applyFont="1" applyAlignment="1" applyProtection="1">
      <alignment horizontal="center"/>
      <protection locked="0"/>
    </xf>
    <xf numFmtId="167" fontId="25" fillId="0" borderId="0" xfId="2" applyNumberFormat="1" applyFont="1" applyAlignment="1" applyProtection="1">
      <alignment horizontal="center" vertical="center"/>
      <protection hidden="1"/>
    </xf>
    <xf numFmtId="0" fontId="70" fillId="0" borderId="0" xfId="0" applyFont="1" applyProtection="1">
      <protection hidden="1"/>
    </xf>
    <xf numFmtId="8" fontId="21" fillId="0" borderId="9" xfId="0" applyNumberFormat="1" applyFont="1" applyBorder="1" applyAlignment="1" applyProtection="1">
      <alignment horizontal="center" vertical="center"/>
      <protection hidden="1"/>
    </xf>
    <xf numFmtId="8" fontId="21" fillId="0" borderId="4" xfId="0" applyNumberFormat="1" applyFont="1" applyBorder="1" applyAlignment="1" applyProtection="1">
      <alignment horizontal="center"/>
      <protection hidden="1"/>
    </xf>
    <xf numFmtId="44" fontId="3" fillId="0" borderId="0" xfId="0" applyNumberFormat="1" applyFont="1"/>
    <xf numFmtId="44" fontId="3" fillId="0" borderId="0" xfId="2" applyFont="1"/>
    <xf numFmtId="0" fontId="72" fillId="0" borderId="0" xfId="0" applyFont="1"/>
    <xf numFmtId="0" fontId="3" fillId="0" borderId="4" xfId="0" applyFont="1" applyBorder="1"/>
    <xf numFmtId="0" fontId="0" fillId="0" borderId="4" xfId="0" applyBorder="1"/>
    <xf numFmtId="44" fontId="0" fillId="0" borderId="4" xfId="2" applyFont="1" applyBorder="1"/>
    <xf numFmtId="44" fontId="3" fillId="0" borderId="4" xfId="0" applyNumberFormat="1" applyFont="1" applyBorder="1"/>
    <xf numFmtId="44" fontId="3" fillId="0" borderId="0" xfId="2" applyFont="1" applyFill="1"/>
    <xf numFmtId="44" fontId="3" fillId="0" borderId="0" xfId="2" applyFont="1" applyBorder="1"/>
    <xf numFmtId="44" fontId="0" fillId="0" borderId="0" xfId="2" applyFont="1" applyBorder="1"/>
    <xf numFmtId="44" fontId="1" fillId="0" borderId="4" xfId="2" applyFont="1" applyBorder="1"/>
    <xf numFmtId="44" fontId="0" fillId="0" borderId="4" xfId="0" applyNumberFormat="1" applyBorder="1"/>
    <xf numFmtId="0" fontId="32" fillId="0" borderId="4" xfId="0" applyFont="1" applyBorder="1"/>
    <xf numFmtId="44" fontId="32" fillId="0" borderId="4" xfId="0" applyNumberFormat="1" applyFont="1" applyBorder="1"/>
    <xf numFmtId="44" fontId="32" fillId="0" borderId="9" xfId="0" applyNumberFormat="1" applyFont="1" applyBorder="1"/>
    <xf numFmtId="0" fontId="20" fillId="0" borderId="0" xfId="0" applyFont="1" applyAlignment="1" applyProtection="1">
      <alignment horizontal="left" vertical="top"/>
      <protection hidden="1"/>
    </xf>
    <xf numFmtId="0" fontId="0" fillId="0" borderId="11" xfId="0" applyBorder="1" applyAlignment="1" applyProtection="1">
      <alignment horizontal="center"/>
      <protection hidden="1"/>
    </xf>
    <xf numFmtId="167" fontId="1" fillId="0" borderId="11" xfId="2" applyNumberFormat="1" applyFont="1" applyFill="1" applyBorder="1" applyProtection="1">
      <protection hidden="1"/>
    </xf>
    <xf numFmtId="44" fontId="1" fillId="0" borderId="9" xfId="2" applyFont="1" applyFill="1" applyBorder="1" applyAlignment="1" applyProtection="1">
      <alignment horizontal="center"/>
      <protection hidden="1"/>
    </xf>
    <xf numFmtId="44" fontId="1" fillId="0" borderId="12" xfId="2" applyFont="1" applyFill="1" applyBorder="1" applyAlignment="1" applyProtection="1">
      <alignment horizontal="center"/>
      <protection hidden="1"/>
    </xf>
    <xf numFmtId="0" fontId="30" fillId="0" borderId="0" xfId="0" applyFont="1" applyAlignment="1" applyProtection="1">
      <alignment vertical="center"/>
      <protection hidden="1"/>
    </xf>
    <xf numFmtId="0" fontId="26" fillId="0" borderId="0" xfId="0" applyFont="1" applyAlignment="1" applyProtection="1">
      <alignment horizontal="center"/>
      <protection locked="0"/>
    </xf>
    <xf numFmtId="0" fontId="38" fillId="0" borderId="12" xfId="0" applyFont="1" applyBorder="1" applyAlignment="1">
      <alignment horizontal="left" vertical="center"/>
    </xf>
    <xf numFmtId="0" fontId="49" fillId="10" borderId="0" xfId="4" applyFill="1" applyBorder="1" applyAlignment="1" applyProtection="1">
      <alignment horizontal="center" vertical="center"/>
      <protection locked="0"/>
    </xf>
    <xf numFmtId="167" fontId="3" fillId="0" borderId="4" xfId="2" applyNumberFormat="1" applyFont="1" applyFill="1" applyBorder="1" applyAlignment="1" applyProtection="1">
      <alignment horizontal="center"/>
    </xf>
    <xf numFmtId="167" fontId="3" fillId="0" borderId="1" xfId="2" applyNumberFormat="1" applyFont="1" applyFill="1" applyBorder="1" applyAlignment="1" applyProtection="1">
      <alignment horizontal="center"/>
    </xf>
    <xf numFmtId="167" fontId="3" fillId="0" borderId="34" xfId="2" applyNumberFormat="1" applyFont="1" applyFill="1" applyBorder="1" applyAlignment="1" applyProtection="1">
      <alignment horizontal="center"/>
    </xf>
    <xf numFmtId="167" fontId="35" fillId="0" borderId="34" xfId="2" applyNumberFormat="1" applyFont="1" applyBorder="1" applyAlignment="1">
      <alignment horizontal="center"/>
    </xf>
    <xf numFmtId="167" fontId="35" fillId="0" borderId="1" xfId="2" applyNumberFormat="1" applyFont="1" applyBorder="1" applyAlignment="1">
      <alignment horizontal="center"/>
    </xf>
    <xf numFmtId="167" fontId="35" fillId="0" borderId="4" xfId="2" applyNumberFormat="1" applyFont="1" applyBorder="1" applyAlignment="1">
      <alignment horizontal="center"/>
    </xf>
    <xf numFmtId="0" fontId="46" fillId="0" borderId="0" xfId="0" applyFont="1"/>
    <xf numFmtId="0" fontId="40" fillId="0" borderId="0" xfId="0" applyFont="1" applyProtection="1">
      <protection hidden="1"/>
    </xf>
    <xf numFmtId="0" fontId="21" fillId="8" borderId="3" xfId="0" applyFont="1" applyFill="1" applyBorder="1" applyProtection="1">
      <protection hidden="1"/>
    </xf>
    <xf numFmtId="0" fontId="73" fillId="0" borderId="0" xfId="0" applyFont="1"/>
    <xf numFmtId="0" fontId="26" fillId="0" borderId="0" xfId="0" applyFont="1" applyAlignment="1" applyProtection="1">
      <alignment horizontal="left"/>
      <protection hidden="1"/>
    </xf>
    <xf numFmtId="8" fontId="15" fillId="0" borderId="4" xfId="0" applyNumberFormat="1" applyFont="1" applyBorder="1" applyAlignment="1" applyProtection="1">
      <alignment horizontal="center" vertical="center"/>
      <protection hidden="1"/>
    </xf>
    <xf numFmtId="167" fontId="15" fillId="0" borderId="0" xfId="2" applyNumberFormat="1" applyFont="1" applyAlignment="1" applyProtection="1">
      <alignment horizontal="center" vertical="center"/>
      <protection hidden="1"/>
    </xf>
    <xf numFmtId="9" fontId="15" fillId="0" borderId="0" xfId="3" applyFont="1" applyAlignment="1" applyProtection="1">
      <alignment horizontal="center" vertical="center"/>
      <protection hidden="1"/>
    </xf>
    <xf numFmtId="167" fontId="26" fillId="0" borderId="0" xfId="2" applyNumberFormat="1" applyFont="1" applyProtection="1">
      <protection hidden="1"/>
    </xf>
    <xf numFmtId="167" fontId="0" fillId="0" borderId="0" xfId="2" applyNumberFormat="1" applyFont="1" applyProtection="1">
      <protection hidden="1"/>
    </xf>
    <xf numFmtId="167" fontId="31" fillId="0" borderId="0" xfId="2" applyNumberFormat="1" applyFont="1" applyAlignment="1" applyProtection="1">
      <alignment horizontal="center" vertical="center"/>
      <protection hidden="1"/>
    </xf>
    <xf numFmtId="8" fontId="15" fillId="0" borderId="9" xfId="0" applyNumberFormat="1" applyFont="1" applyBorder="1" applyAlignment="1" applyProtection="1">
      <alignment horizontal="center" vertical="center"/>
      <protection hidden="1"/>
    </xf>
    <xf numFmtId="167" fontId="1" fillId="0" borderId="7" xfId="2" applyNumberFormat="1" applyFont="1" applyBorder="1" applyAlignment="1" applyProtection="1">
      <alignment horizontal="center"/>
      <protection hidden="1"/>
    </xf>
    <xf numFmtId="0" fontId="20" fillId="0" borderId="3" xfId="0" applyFont="1" applyBorder="1" applyProtection="1">
      <protection hidden="1"/>
    </xf>
    <xf numFmtId="0" fontId="20" fillId="0" borderId="0" xfId="0" applyFont="1" applyAlignment="1" applyProtection="1">
      <alignment vertical="top"/>
      <protection hidden="1"/>
    </xf>
    <xf numFmtId="0" fontId="0" fillId="2" borderId="2" xfId="0" applyFill="1" applyBorder="1" applyAlignment="1" applyProtection="1">
      <alignment horizontal="center"/>
      <protection hidden="1"/>
    </xf>
    <xf numFmtId="0" fontId="0" fillId="2" borderId="3" xfId="0" applyFill="1" applyBorder="1" applyAlignment="1" applyProtection="1">
      <alignment horizontal="center"/>
      <protection hidden="1"/>
    </xf>
    <xf numFmtId="0" fontId="3" fillId="0" borderId="0" xfId="0" applyFont="1" applyAlignment="1" applyProtection="1">
      <alignment horizontal="center"/>
      <protection hidden="1"/>
    </xf>
    <xf numFmtId="0" fontId="5" fillId="0" borderId="1" xfId="0" applyFont="1" applyBorder="1" applyAlignment="1" applyProtection="1">
      <alignment horizontal="center"/>
      <protection hidden="1"/>
    </xf>
    <xf numFmtId="0" fontId="5" fillId="0" borderId="2" xfId="0" applyFont="1" applyBorder="1" applyAlignment="1" applyProtection="1">
      <alignment horizontal="center"/>
      <protection hidden="1"/>
    </xf>
    <xf numFmtId="0" fontId="5" fillId="0" borderId="3" xfId="0" applyFont="1" applyBorder="1" applyAlignment="1" applyProtection="1">
      <alignment horizontal="center"/>
      <protection hidden="1"/>
    </xf>
    <xf numFmtId="0" fontId="5" fillId="11" borderId="1" xfId="0" applyFont="1" applyFill="1" applyBorder="1" applyAlignment="1" applyProtection="1">
      <alignment horizontal="center"/>
      <protection locked="0"/>
    </xf>
    <xf numFmtId="0" fontId="5" fillId="11" borderId="2" xfId="0" applyFont="1" applyFill="1" applyBorder="1" applyAlignment="1" applyProtection="1">
      <alignment horizontal="center"/>
      <protection locked="0"/>
    </xf>
    <xf numFmtId="0" fontId="5" fillId="11" borderId="3" xfId="0" applyFont="1" applyFill="1" applyBorder="1" applyAlignment="1" applyProtection="1">
      <alignment horizontal="center"/>
      <protection locked="0"/>
    </xf>
    <xf numFmtId="0" fontId="0" fillId="2" borderId="1" xfId="0" applyFill="1" applyBorder="1" applyAlignment="1" applyProtection="1">
      <alignment horizontal="center"/>
      <protection hidden="1"/>
    </xf>
    <xf numFmtId="0" fontId="0" fillId="0" borderId="0" xfId="0" applyAlignment="1" applyProtection="1">
      <alignment horizontal="center"/>
      <protection locked="0"/>
    </xf>
    <xf numFmtId="0" fontId="32" fillId="0" borderId="19" xfId="0" applyFont="1" applyBorder="1" applyAlignment="1" applyProtection="1">
      <alignment horizontal="left" vertical="top" wrapText="1"/>
      <protection locked="0"/>
    </xf>
    <xf numFmtId="0" fontId="32" fillId="0" borderId="20" xfId="0" applyFont="1" applyBorder="1" applyAlignment="1" applyProtection="1">
      <alignment horizontal="left" vertical="top" wrapText="1"/>
      <protection locked="0"/>
    </xf>
    <xf numFmtId="0" fontId="32" fillId="0" borderId="21" xfId="0" applyFont="1" applyBorder="1" applyAlignment="1" applyProtection="1">
      <alignment horizontal="left" vertical="top" wrapText="1"/>
      <protection locked="0"/>
    </xf>
    <xf numFmtId="0" fontId="32" fillId="0" borderId="22" xfId="0" applyFont="1" applyBorder="1" applyAlignment="1" applyProtection="1">
      <alignment horizontal="left" vertical="top" wrapText="1"/>
      <protection locked="0"/>
    </xf>
    <xf numFmtId="0" fontId="32" fillId="0" borderId="0" xfId="0" applyFont="1" applyAlignment="1" applyProtection="1">
      <alignment horizontal="left" vertical="top" wrapText="1"/>
      <protection locked="0"/>
    </xf>
    <xf numFmtId="0" fontId="32" fillId="0" borderId="23" xfId="0" applyFont="1" applyBorder="1" applyAlignment="1" applyProtection="1">
      <alignment horizontal="left" vertical="top" wrapText="1"/>
      <protection locked="0"/>
    </xf>
    <xf numFmtId="0" fontId="32" fillId="0" borderId="24" xfId="0" applyFont="1" applyBorder="1" applyAlignment="1" applyProtection="1">
      <alignment horizontal="left" vertical="top" wrapText="1"/>
      <protection locked="0"/>
    </xf>
    <xf numFmtId="0" fontId="32" fillId="0" borderId="25" xfId="0" applyFont="1" applyBorder="1" applyAlignment="1" applyProtection="1">
      <alignment horizontal="left" vertical="top" wrapText="1"/>
      <protection locked="0"/>
    </xf>
    <xf numFmtId="0" fontId="32" fillId="0" borderId="26" xfId="0" applyFont="1" applyBorder="1" applyAlignment="1" applyProtection="1">
      <alignment horizontal="left" vertical="top" wrapText="1"/>
      <protection locked="0"/>
    </xf>
    <xf numFmtId="0" fontId="3" fillId="0" borderId="0" xfId="0" applyFont="1" applyAlignment="1" applyProtection="1">
      <alignment horizontal="center" vertical="top"/>
      <protection hidden="1"/>
    </xf>
    <xf numFmtId="0" fontId="35" fillId="0" borderId="1" xfId="0" applyFont="1" applyBorder="1"/>
    <xf numFmtId="0" fontId="35" fillId="0" borderId="2" xfId="0" applyFont="1" applyBorder="1"/>
    <xf numFmtId="0" fontId="35" fillId="0" borderId="3" xfId="0" applyFont="1" applyBorder="1"/>
    <xf numFmtId="0" fontId="21" fillId="0" borderId="1" xfId="0" applyFont="1" applyBorder="1" applyProtection="1">
      <protection hidden="1"/>
    </xf>
    <xf numFmtId="0" fontId="21" fillId="0" borderId="3" xfId="0" applyFont="1" applyBorder="1" applyProtection="1">
      <protection hidden="1"/>
    </xf>
    <xf numFmtId="0" fontId="15" fillId="0" borderId="1" xfId="0" applyFont="1" applyBorder="1" applyProtection="1">
      <protection hidden="1"/>
    </xf>
    <xf numFmtId="0" fontId="15" fillId="0" borderId="3" xfId="0" applyFont="1" applyBorder="1" applyProtection="1">
      <protection hidden="1"/>
    </xf>
    <xf numFmtId="0" fontId="2" fillId="0" borderId="0" xfId="0" applyFont="1" applyAlignment="1" applyProtection="1">
      <alignment horizontal="center"/>
      <protection locked="0"/>
    </xf>
    <xf numFmtId="0" fontId="0" fillId="0" borderId="0" xfId="0" applyAlignment="1">
      <alignment wrapText="1"/>
    </xf>
    <xf numFmtId="0" fontId="0" fillId="0" borderId="1" xfId="0" applyBorder="1"/>
    <xf numFmtId="0" fontId="0" fillId="0" borderId="2" xfId="0" applyBorder="1"/>
    <xf numFmtId="0" fontId="0" fillId="0" borderId="3" xfId="0" applyBorder="1"/>
    <xf numFmtId="0" fontId="26" fillId="0" borderId="1" xfId="0" applyFont="1" applyBorder="1"/>
    <xf numFmtId="0" fontId="26" fillId="0" borderId="2" xfId="0" applyFont="1" applyBorder="1"/>
    <xf numFmtId="0" fontId="26" fillId="0" borderId="3" xfId="0" applyFont="1" applyBorder="1"/>
    <xf numFmtId="0" fontId="26" fillId="0" borderId="4" xfId="0" applyFont="1" applyBorder="1"/>
    <xf numFmtId="0" fontId="15" fillId="0" borderId="1" xfId="0" applyFont="1" applyBorder="1" applyAlignment="1" applyProtection="1">
      <alignment horizontal="left"/>
      <protection hidden="1"/>
    </xf>
    <xf numFmtId="0" fontId="15" fillId="0" borderId="3" xfId="0" applyFont="1" applyBorder="1" applyAlignment="1" applyProtection="1">
      <alignment horizontal="left"/>
      <protection hidden="1"/>
    </xf>
    <xf numFmtId="0" fontId="0" fillId="0" borderId="0" xfId="0" applyAlignment="1" applyProtection="1">
      <alignment horizontal="center" vertical="center" textRotation="90" wrapText="1"/>
      <protection locked="0"/>
    </xf>
    <xf numFmtId="0" fontId="35" fillId="0" borderId="4" xfId="0" applyFont="1" applyBorder="1"/>
    <xf numFmtId="0" fontId="3" fillId="0" borderId="18" xfId="0" applyFont="1" applyBorder="1" applyAlignment="1">
      <alignment horizontal="left"/>
    </xf>
    <xf numFmtId="0" fontId="3" fillId="0" borderId="4" xfId="0" applyFont="1" applyBorder="1" applyAlignment="1">
      <alignment horizontal="left"/>
    </xf>
    <xf numFmtId="0" fontId="21" fillId="0" borderId="1" xfId="0" applyFont="1" applyBorder="1" applyAlignment="1" applyProtection="1">
      <alignment horizontal="left"/>
      <protection hidden="1"/>
    </xf>
    <xf numFmtId="0" fontId="21" fillId="0" borderId="3" xfId="0" applyFont="1" applyBorder="1" applyAlignment="1" applyProtection="1">
      <alignment horizontal="left"/>
      <protection hidden="1"/>
    </xf>
    <xf numFmtId="0" fontId="41" fillId="0" borderId="16" xfId="0" applyFont="1" applyBorder="1" applyAlignment="1">
      <alignment horizontal="left"/>
    </xf>
    <xf numFmtId="0" fontId="41" fillId="0" borderId="17" xfId="0" applyFont="1" applyBorder="1" applyAlignment="1">
      <alignment horizontal="left"/>
    </xf>
    <xf numFmtId="0" fontId="31" fillId="0" borderId="0" xfId="0" applyFont="1" applyAlignment="1" applyProtection="1">
      <alignment horizontal="center" vertical="center"/>
      <protection locked="0"/>
    </xf>
    <xf numFmtId="44" fontId="2" fillId="0" borderId="0" xfId="0" applyNumberFormat="1" applyFont="1" applyAlignment="1" applyProtection="1">
      <alignment horizontal="center"/>
      <protection locked="0"/>
    </xf>
    <xf numFmtId="0" fontId="35" fillId="0" borderId="0" xfId="0" applyFont="1" applyAlignment="1">
      <alignment horizontal="left" vertical="top" wrapText="1"/>
    </xf>
    <xf numFmtId="0" fontId="3" fillId="0" borderId="36" xfId="0" applyFont="1" applyBorder="1" applyAlignment="1">
      <alignment horizontal="left"/>
    </xf>
    <xf numFmtId="0" fontId="3" fillId="0" borderId="2" xfId="0" applyFont="1" applyBorder="1" applyAlignment="1">
      <alignment horizontal="left"/>
    </xf>
    <xf numFmtId="0" fontId="3" fillId="0" borderId="3" xfId="0" applyFont="1" applyBorder="1" applyAlignment="1">
      <alignment horizontal="left"/>
    </xf>
    <xf numFmtId="0" fontId="32" fillId="0" borderId="0" xfId="0" applyFont="1" applyAlignment="1">
      <alignment wrapText="1"/>
    </xf>
    <xf numFmtId="44" fontId="32" fillId="0" borderId="4" xfId="0" applyNumberFormat="1" applyFont="1" applyBorder="1"/>
    <xf numFmtId="0" fontId="0" fillId="0" borderId="0" xfId="0" applyAlignment="1">
      <alignment horizontal="center" vertical="center" wrapText="1"/>
    </xf>
    <xf numFmtId="0" fontId="0" fillId="0" borderId="0" xfId="0" applyAlignment="1">
      <alignment horizontal="center" vertical="center"/>
    </xf>
    <xf numFmtId="0" fontId="3" fillId="13" borderId="11" xfId="0" applyFont="1" applyFill="1" applyBorder="1" applyAlignment="1">
      <alignment horizontal="center"/>
    </xf>
    <xf numFmtId="0" fontId="3" fillId="13" borderId="12" xfId="0" applyFont="1" applyFill="1" applyBorder="1" applyAlignment="1">
      <alignment horizontal="center"/>
    </xf>
    <xf numFmtId="0" fontId="3" fillId="13" borderId="10" xfId="0" applyFont="1" applyFill="1" applyBorder="1" applyAlignment="1">
      <alignment horizontal="center"/>
    </xf>
  </cellXfs>
  <cellStyles count="6">
    <cellStyle name="Comma" xfId="1" builtinId="3"/>
    <cellStyle name="Currency" xfId="2" builtinId="4"/>
    <cellStyle name="Hyperlink" xfId="4" builtinId="8"/>
    <cellStyle name="Normal" xfId="0" builtinId="0"/>
    <cellStyle name="Normal 10" xfId="5" xr:uid="{E9F1D0C3-8B9D-406E-96C5-6E84EB87C96E}"/>
    <cellStyle name="Percent" xfId="3" builtinId="5"/>
  </cellStyles>
  <dxfs count="34">
    <dxf>
      <font>
        <color rgb="FF9C0006"/>
      </font>
      <fill>
        <patternFill>
          <bgColor rgb="FFFFC7CE"/>
        </patternFill>
      </fill>
    </dxf>
    <dxf>
      <font>
        <color theme="0"/>
      </font>
    </dxf>
    <dxf>
      <font>
        <color rgb="FF9C0006"/>
      </font>
      <fill>
        <patternFill>
          <bgColor rgb="FFFFC7CE"/>
        </patternFill>
      </fill>
    </dxf>
    <dxf>
      <font>
        <color theme="0"/>
      </font>
    </dxf>
    <dxf>
      <font>
        <color theme="0"/>
      </font>
    </dxf>
    <dxf>
      <font>
        <color rgb="FF9C0006"/>
      </font>
      <fill>
        <patternFill>
          <bgColor rgb="FFFFC7CE"/>
        </patternFill>
      </fill>
    </dxf>
    <dxf>
      <font>
        <color theme="0"/>
      </font>
    </dxf>
    <dxf>
      <font>
        <color rgb="FF9C0006"/>
      </font>
      <fill>
        <patternFill>
          <bgColor rgb="FFFFC7CE"/>
        </patternFill>
      </fill>
    </dxf>
    <dxf>
      <font>
        <color theme="0"/>
      </font>
    </dxf>
    <dxf>
      <font>
        <color rgb="FFC00000"/>
      </font>
      <fill>
        <patternFill>
          <bgColor rgb="FFFF9799"/>
        </patternFill>
      </fill>
    </dxf>
    <dxf>
      <font>
        <color rgb="FFC00000"/>
      </font>
      <fill>
        <patternFill>
          <bgColor rgb="FFFF9799"/>
        </patternFill>
      </fill>
    </dxf>
    <dxf>
      <font>
        <color rgb="FFFF0000"/>
      </font>
    </dxf>
    <dxf>
      <font>
        <color rgb="FFC00000"/>
      </font>
      <fill>
        <patternFill>
          <bgColor rgb="FFFFAFAF"/>
        </patternFill>
      </fill>
    </dxf>
    <dxf>
      <font>
        <color rgb="FFFF0000"/>
      </font>
    </dxf>
    <dxf>
      <font>
        <color rgb="FFFF0000"/>
      </font>
    </dxf>
    <dxf>
      <font>
        <color rgb="FF9C0006"/>
      </font>
      <fill>
        <patternFill>
          <bgColor rgb="FFFFC7CE"/>
        </patternFill>
      </fill>
    </dxf>
    <dxf>
      <font>
        <color rgb="FFC00000"/>
      </font>
      <fill>
        <patternFill>
          <bgColor rgb="FFFFCCCC"/>
        </patternFill>
      </fill>
    </dxf>
    <dxf>
      <font>
        <color rgb="FFC00000"/>
      </font>
      <fill>
        <patternFill>
          <bgColor rgb="FFFFAFAF"/>
        </patternFill>
      </fill>
    </dxf>
    <dxf>
      <font>
        <color theme="0"/>
      </font>
    </dxf>
    <dxf>
      <font>
        <color rgb="FFC00000"/>
      </font>
      <fill>
        <patternFill>
          <bgColor rgb="FFFFAFAF"/>
        </patternFill>
      </fill>
    </dxf>
    <dxf>
      <font>
        <color rgb="FFC00000"/>
      </font>
      <fill>
        <patternFill>
          <bgColor rgb="FFFFAFAF"/>
        </patternFill>
      </fill>
    </dxf>
    <dxf>
      <font>
        <color rgb="FFFF0000"/>
      </font>
    </dxf>
    <dxf>
      <font>
        <color rgb="FFFF0000"/>
      </font>
    </dxf>
    <dxf>
      <font>
        <color rgb="FFC00000"/>
      </font>
      <fill>
        <patternFill>
          <bgColor rgb="FFFFCCCC"/>
        </patternFill>
      </fill>
    </dxf>
    <dxf>
      <font>
        <color rgb="FFC00000"/>
      </font>
      <fill>
        <patternFill>
          <bgColor rgb="FFFFCCCC"/>
        </patternFill>
      </fill>
    </dxf>
    <dxf>
      <font>
        <color rgb="FF9C0006"/>
      </font>
      <fill>
        <patternFill>
          <bgColor rgb="FFFFC7CE"/>
        </patternFill>
      </fill>
    </dxf>
    <dxf>
      <font>
        <color theme="0"/>
      </font>
    </dxf>
    <dxf>
      <font>
        <color rgb="FF9C0006"/>
      </font>
      <fill>
        <patternFill>
          <bgColor rgb="FFFFC7CE"/>
        </patternFill>
      </fill>
    </dxf>
    <dxf>
      <font>
        <color theme="0"/>
      </font>
    </dxf>
    <dxf>
      <font>
        <color theme="0"/>
      </font>
    </dxf>
    <dxf>
      <font>
        <color rgb="FF9C0006"/>
      </font>
      <fill>
        <patternFill>
          <bgColor rgb="FFFFC7CE"/>
        </patternFill>
      </fill>
    </dxf>
    <dxf>
      <font>
        <color theme="0"/>
      </font>
    </dxf>
    <dxf>
      <font>
        <color rgb="FF9C0006"/>
      </font>
      <fill>
        <patternFill>
          <bgColor rgb="FFFFC7CE"/>
        </patternFill>
      </fill>
    </dxf>
    <dxf>
      <font>
        <color theme="0"/>
      </font>
    </dxf>
  </dxfs>
  <tableStyles count="0" defaultTableStyle="TableStyleMedium2" defaultPivotStyle="PivotStyleLight16"/>
  <colors>
    <mruColors>
      <color rgb="FFFF4B21"/>
      <color rgb="FFFFCCCC"/>
      <color rgb="FFFF9999"/>
      <color rgb="FFFFFFCC"/>
      <color rgb="FFFF9799"/>
      <color rgb="FFFF7C80"/>
      <color rgb="FFFFAFAF"/>
      <color rgb="FFFFA7A7"/>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E3C5B3-6144-4FF7-8FF8-7DE4A57C9CAE}">
  <sheetPr>
    <pageSetUpPr fitToPage="1"/>
  </sheetPr>
  <dimension ref="A1:AB129"/>
  <sheetViews>
    <sheetView showGridLines="0" workbookViewId="0">
      <selection activeCell="Q45" sqref="Q45"/>
    </sheetView>
  </sheetViews>
  <sheetFormatPr defaultColWidth="9.44140625" defaultRowHeight="14.4" zeroHeight="1" x14ac:dyDescent="0.3"/>
  <cols>
    <col min="1" max="1" width="46.5546875" customWidth="1"/>
    <col min="2" max="2" width="3" customWidth="1"/>
    <col min="3" max="3" width="11" customWidth="1"/>
    <col min="4" max="4" width="2" customWidth="1"/>
    <col min="5" max="5" width="13" customWidth="1"/>
    <col min="6" max="6" width="2.5546875" customWidth="1"/>
    <col min="7" max="7" width="11" customWidth="1"/>
    <col min="8" max="8" width="2" customWidth="1"/>
    <col min="9" max="9" width="13" customWidth="1"/>
    <col min="10" max="10" width="2.5546875" customWidth="1"/>
    <col min="11" max="11" width="11" customWidth="1"/>
    <col min="12" max="12" width="2" customWidth="1"/>
    <col min="13" max="13" width="13" customWidth="1"/>
    <col min="14" max="14" width="2.5546875" customWidth="1"/>
    <col min="15" max="15" width="11" customWidth="1"/>
    <col min="16" max="16" width="2" customWidth="1"/>
    <col min="17" max="17" width="13.44140625" customWidth="1"/>
    <col min="18" max="18" width="3.44140625" customWidth="1"/>
    <col min="19" max="19" width="42.44140625" customWidth="1"/>
  </cols>
  <sheetData>
    <row r="1" spans="1:18" x14ac:dyDescent="0.3">
      <c r="A1" s="450">
        <f>IF(Lookups!C14&gt;1,"Caution: You currently have services selected in multiple Exhibit B tabs. For clarity, please zero out those you are not ordering from.",0)</f>
        <v>0</v>
      </c>
      <c r="B1" s="450"/>
      <c r="C1" s="450"/>
      <c r="D1" s="450"/>
      <c r="E1" s="450"/>
      <c r="F1" s="450"/>
      <c r="G1" s="450"/>
      <c r="H1" s="450"/>
      <c r="I1" s="450"/>
      <c r="J1" s="450"/>
      <c r="K1" s="450"/>
      <c r="L1" s="450"/>
      <c r="M1" s="450"/>
      <c r="N1" s="450"/>
      <c r="O1" s="450"/>
      <c r="P1" s="450"/>
      <c r="Q1" s="450"/>
    </row>
    <row r="2" spans="1:18" x14ac:dyDescent="0.3">
      <c r="A2" s="1"/>
      <c r="B2" s="1"/>
      <c r="C2" s="1"/>
      <c r="D2" s="1"/>
      <c r="E2" s="1"/>
      <c r="F2" s="1"/>
      <c r="G2" s="1"/>
      <c r="H2" s="1"/>
      <c r="I2" s="1"/>
      <c r="J2" s="1"/>
      <c r="K2" s="1"/>
      <c r="L2" s="1"/>
      <c r="M2" s="1"/>
      <c r="N2" s="1"/>
      <c r="O2" s="1"/>
      <c r="P2" s="1"/>
      <c r="Q2" s="1"/>
    </row>
    <row r="3" spans="1:18" x14ac:dyDescent="0.3">
      <c r="A3" s="1"/>
      <c r="B3" s="1"/>
      <c r="C3" s="1"/>
      <c r="D3" s="1"/>
      <c r="E3" s="1"/>
      <c r="F3" s="1"/>
      <c r="G3" s="1"/>
      <c r="H3" s="1"/>
      <c r="I3" s="1"/>
      <c r="J3" s="1"/>
      <c r="K3" s="1"/>
      <c r="L3" s="1"/>
      <c r="M3" s="1"/>
      <c r="N3" s="1"/>
      <c r="O3" s="1"/>
      <c r="P3" s="1"/>
      <c r="Q3" s="1"/>
    </row>
    <row r="4" spans="1:18" ht="25.8" x14ac:dyDescent="0.5">
      <c r="A4" s="451" t="s">
        <v>0</v>
      </c>
      <c r="B4" s="452"/>
      <c r="C4" s="452"/>
      <c r="D4" s="452"/>
      <c r="E4" s="452"/>
      <c r="F4" s="452"/>
      <c r="G4" s="452"/>
      <c r="H4" s="452"/>
      <c r="I4" s="452"/>
      <c r="J4" s="452"/>
      <c r="K4" s="452"/>
      <c r="L4" s="452"/>
      <c r="M4" s="452"/>
      <c r="N4" s="452"/>
      <c r="O4" s="452"/>
      <c r="P4" s="452"/>
      <c r="Q4" s="453"/>
    </row>
    <row r="5" spans="1:18" ht="25.8" x14ac:dyDescent="0.5">
      <c r="A5" s="454" t="s">
        <v>1</v>
      </c>
      <c r="B5" s="455"/>
      <c r="C5" s="455"/>
      <c r="D5" s="455"/>
      <c r="E5" s="455"/>
      <c r="F5" s="455"/>
      <c r="G5" s="455"/>
      <c r="H5" s="455"/>
      <c r="I5" s="455"/>
      <c r="J5" s="455"/>
      <c r="K5" s="455"/>
      <c r="L5" s="455"/>
      <c r="M5" s="455"/>
      <c r="N5" s="455"/>
      <c r="O5" s="455"/>
      <c r="P5" s="455"/>
      <c r="Q5" s="456"/>
    </row>
    <row r="6" spans="1:18" x14ac:dyDescent="0.3">
      <c r="A6" s="1"/>
      <c r="B6" s="1"/>
      <c r="C6" s="1"/>
      <c r="D6" s="1"/>
      <c r="E6" s="1"/>
      <c r="F6" s="1"/>
      <c r="G6" s="1"/>
      <c r="H6" s="1"/>
      <c r="I6" s="1"/>
      <c r="J6" s="1"/>
      <c r="K6" s="1"/>
      <c r="L6" s="1"/>
      <c r="M6" s="1"/>
      <c r="N6" s="1"/>
      <c r="O6" s="1"/>
      <c r="P6" s="1"/>
      <c r="Q6" s="1"/>
    </row>
    <row r="7" spans="1:18" x14ac:dyDescent="0.3">
      <c r="A7" s="2" t="s">
        <v>2</v>
      </c>
      <c r="B7" s="1"/>
      <c r="C7" s="457" t="s">
        <v>3</v>
      </c>
      <c r="D7" s="448"/>
      <c r="E7" s="449"/>
      <c r="F7" s="1"/>
      <c r="G7" s="457" t="s">
        <v>4</v>
      </c>
      <c r="H7" s="448"/>
      <c r="I7" s="449"/>
      <c r="J7" s="1"/>
      <c r="K7" s="457" t="s">
        <v>5</v>
      </c>
      <c r="L7" s="448"/>
      <c r="M7" s="449"/>
      <c r="N7" s="1"/>
      <c r="O7" s="457" t="s">
        <v>6</v>
      </c>
      <c r="P7" s="448"/>
      <c r="Q7" s="449"/>
    </row>
    <row r="8" spans="1:18" x14ac:dyDescent="0.3">
      <c r="A8" s="386" t="s">
        <v>7</v>
      </c>
      <c r="B8" s="1"/>
      <c r="C8" s="4"/>
      <c r="D8" s="1"/>
      <c r="E8" s="5">
        <f>IFERROR(VLOOKUP($A$5,Lookups!$B$102:$G$104,2,FALSE),0)</f>
        <v>0</v>
      </c>
      <c r="F8" s="1"/>
      <c r="G8" s="4"/>
      <c r="H8" s="1"/>
      <c r="I8" s="5">
        <f>IFERROR(VLOOKUP($A$5,Lookups!$B$102:$G$104,3,FALSE),0)</f>
        <v>0</v>
      </c>
      <c r="J8" s="1"/>
      <c r="K8" s="4"/>
      <c r="L8" s="1"/>
      <c r="M8" s="5">
        <f>IFERROR(VLOOKUP($A$5,Lookups!$B$102:$G$104,4,FALSE),0)</f>
        <v>0</v>
      </c>
      <c r="N8" s="1"/>
      <c r="O8" s="4"/>
      <c r="P8" s="1"/>
      <c r="Q8" s="5">
        <f>IFERROR(VLOOKUP($A$5,Lookups!$B$102:$G$104,5,FALSE),0)</f>
        <v>0</v>
      </c>
      <c r="R8" s="1"/>
    </row>
    <row r="9" spans="1:18" x14ac:dyDescent="0.3">
      <c r="A9" s="3" t="s">
        <v>8</v>
      </c>
      <c r="B9" s="1"/>
      <c r="C9" s="4"/>
      <c r="D9" s="1"/>
      <c r="E9" s="6"/>
      <c r="F9" s="1"/>
      <c r="G9" s="4"/>
      <c r="H9" s="1"/>
      <c r="I9" s="6"/>
      <c r="J9" s="1"/>
      <c r="K9" s="4"/>
      <c r="L9" s="1"/>
      <c r="M9" s="6"/>
      <c r="N9" s="1"/>
      <c r="O9" s="4"/>
      <c r="P9" s="1"/>
      <c r="Q9" s="6"/>
      <c r="R9" s="1"/>
    </row>
    <row r="10" spans="1:18" x14ac:dyDescent="0.3">
      <c r="A10" s="3" t="s">
        <v>9</v>
      </c>
      <c r="B10" s="1"/>
      <c r="C10" s="4"/>
      <c r="D10" s="1"/>
      <c r="E10" s="7"/>
      <c r="F10" s="1"/>
      <c r="G10" s="4"/>
      <c r="H10" s="1"/>
      <c r="I10" s="7"/>
      <c r="J10" s="1"/>
      <c r="K10" s="4"/>
      <c r="L10" s="1"/>
      <c r="M10" s="7"/>
      <c r="N10" s="1"/>
      <c r="O10" s="4"/>
      <c r="P10" s="1"/>
      <c r="Q10" s="7"/>
      <c r="R10" s="1"/>
    </row>
    <row r="11" spans="1:18" ht="15" thickBot="1" x14ac:dyDescent="0.35">
      <c r="A11" s="3" t="s">
        <v>10</v>
      </c>
      <c r="B11" s="1"/>
      <c r="C11" s="4"/>
      <c r="D11" s="1"/>
      <c r="E11" s="8">
        <f>(E8+E9)/(1-E10)</f>
        <v>0</v>
      </c>
      <c r="F11" s="1"/>
      <c r="G11" s="4"/>
      <c r="H11" s="1"/>
      <c r="I11" s="8">
        <f>(I8+I9)/(1-I10)</f>
        <v>0</v>
      </c>
      <c r="J11" s="1"/>
      <c r="K11" s="4"/>
      <c r="L11" s="1"/>
      <c r="M11" s="8">
        <f>(M8+M9)/(1-M10)</f>
        <v>0</v>
      </c>
      <c r="N11" s="1"/>
      <c r="O11" s="4"/>
      <c r="P11" s="1"/>
      <c r="Q11" s="8">
        <f>ROUNDUP((Q8+Q9)/(1-Q10),2)</f>
        <v>0</v>
      </c>
      <c r="R11" s="1"/>
    </row>
    <row r="12" spans="1:18" ht="15" thickTop="1" x14ac:dyDescent="0.3">
      <c r="A12" s="3"/>
      <c r="B12" s="1"/>
      <c r="C12" s="4"/>
      <c r="D12" s="1"/>
      <c r="E12" s="5"/>
      <c r="F12" s="1"/>
      <c r="G12" s="4"/>
      <c r="H12" s="1"/>
      <c r="I12" s="5"/>
      <c r="J12" s="1"/>
      <c r="K12" s="4"/>
      <c r="L12" s="1"/>
      <c r="M12" s="5"/>
      <c r="N12" s="1"/>
      <c r="O12" s="4"/>
      <c r="P12" s="1"/>
      <c r="Q12" s="5"/>
      <c r="R12" s="1"/>
    </row>
    <row r="13" spans="1:18" x14ac:dyDescent="0.3">
      <c r="A13" s="384" t="s">
        <v>11</v>
      </c>
      <c r="B13" s="1"/>
      <c r="C13" s="4"/>
      <c r="D13" s="1"/>
      <c r="E13" s="5">
        <f>IFERROR(VLOOKUP($A$5,Lookups!$B$107:$G$109,2,FALSE),0)</f>
        <v>0</v>
      </c>
      <c r="F13" s="1"/>
      <c r="G13" s="4"/>
      <c r="H13" s="1"/>
      <c r="I13" s="5">
        <f>IFERROR(VLOOKUP($A$5,Lookups!$B$107:$G$109,3,FALSE),0)</f>
        <v>0</v>
      </c>
      <c r="J13" s="1"/>
      <c r="K13" s="4"/>
      <c r="L13" s="1"/>
      <c r="M13" s="5">
        <f>IFERROR(VLOOKUP($A$5,Lookups!$B$107:$G$109,4,FALSE),0)</f>
        <v>0</v>
      </c>
      <c r="N13" s="1"/>
      <c r="O13" s="4"/>
      <c r="P13" s="1"/>
      <c r="Q13" s="5">
        <f>IFERROR(VLOOKUP($A$5,Lookups!$B$107:$G$109,5,FALSE),0)</f>
        <v>0</v>
      </c>
      <c r="R13" s="1"/>
    </row>
    <row r="14" spans="1:18" x14ac:dyDescent="0.3">
      <c r="A14" s="3" t="s">
        <v>8</v>
      </c>
      <c r="B14" s="1"/>
      <c r="C14" s="4"/>
      <c r="D14" s="1"/>
      <c r="E14" s="6"/>
      <c r="F14" s="1"/>
      <c r="G14" s="4"/>
      <c r="H14" s="1"/>
      <c r="I14" s="6"/>
      <c r="J14" s="1"/>
      <c r="K14" s="4"/>
      <c r="L14" s="1"/>
      <c r="M14" s="6"/>
      <c r="N14" s="1"/>
      <c r="O14" s="4"/>
      <c r="P14" s="1"/>
      <c r="Q14" s="6"/>
      <c r="R14" s="1"/>
    </row>
    <row r="15" spans="1:18" x14ac:dyDescent="0.3">
      <c r="A15" s="3" t="s">
        <v>9</v>
      </c>
      <c r="B15" s="1"/>
      <c r="C15" s="4"/>
      <c r="D15" s="1"/>
      <c r="E15" s="7"/>
      <c r="F15" s="1"/>
      <c r="G15" s="4"/>
      <c r="H15" s="1"/>
      <c r="I15" s="7"/>
      <c r="J15" s="1"/>
      <c r="K15" s="4"/>
      <c r="L15" s="1"/>
      <c r="M15" s="7"/>
      <c r="N15" s="1"/>
      <c r="O15" s="4"/>
      <c r="P15" s="1"/>
      <c r="Q15" s="7"/>
      <c r="R15" s="1"/>
    </row>
    <row r="16" spans="1:18" ht="15" thickBot="1" x14ac:dyDescent="0.35">
      <c r="A16" s="3" t="s">
        <v>10</v>
      </c>
      <c r="B16" s="1"/>
      <c r="C16" s="4"/>
      <c r="D16" s="1"/>
      <c r="E16" s="8">
        <f>(E13+E14)/(1-E15)</f>
        <v>0</v>
      </c>
      <c r="F16" s="1"/>
      <c r="G16" s="4"/>
      <c r="H16" s="1"/>
      <c r="I16" s="8">
        <f>(I13+I14)/(1-I15)</f>
        <v>0</v>
      </c>
      <c r="J16" s="1"/>
      <c r="K16" s="4"/>
      <c r="L16" s="1"/>
      <c r="M16" s="8">
        <f>(M13+M14)/(1-M15)</f>
        <v>0</v>
      </c>
      <c r="N16" s="1"/>
      <c r="O16" s="4"/>
      <c r="P16" s="1"/>
      <c r="Q16" s="8">
        <f>ROUNDUP((Q13+Q14)/(1-Q15),2)</f>
        <v>0</v>
      </c>
      <c r="R16" s="1"/>
    </row>
    <row r="17" spans="1:18" ht="15" thickTop="1" x14ac:dyDescent="0.3">
      <c r="A17" s="3"/>
      <c r="B17" s="1"/>
      <c r="C17" s="4"/>
      <c r="D17" s="1"/>
      <c r="E17" s="5"/>
      <c r="F17" s="1"/>
      <c r="G17" s="4"/>
      <c r="H17" s="1"/>
      <c r="I17" s="5"/>
      <c r="J17" s="1"/>
      <c r="K17" s="4"/>
      <c r="L17" s="1"/>
      <c r="M17" s="5"/>
      <c r="N17" s="1"/>
      <c r="O17" s="4"/>
      <c r="P17" s="1"/>
      <c r="Q17" s="5"/>
      <c r="R17" s="1"/>
    </row>
    <row r="18" spans="1:18" x14ac:dyDescent="0.3">
      <c r="A18" s="384" t="s">
        <v>12</v>
      </c>
      <c r="B18" s="1"/>
      <c r="C18" s="4"/>
      <c r="D18" s="1"/>
      <c r="E18" s="5">
        <f>IFERROR(VLOOKUP($A$5,Lookups!$B$112:$G$114,2,FALSE),0)</f>
        <v>0</v>
      </c>
      <c r="F18" s="1"/>
      <c r="G18" s="4"/>
      <c r="H18" s="1"/>
      <c r="I18" s="5">
        <f>IFERROR(VLOOKUP($A$5,Lookups!$B$112:$G$114,3,FALSE),0)</f>
        <v>0</v>
      </c>
      <c r="J18" s="1"/>
      <c r="K18" s="4"/>
      <c r="L18" s="1"/>
      <c r="M18" s="5">
        <f>IFERROR(VLOOKUP($A$5,Lookups!$B$112:$G$114,4,FALSE),0)</f>
        <v>0</v>
      </c>
      <c r="N18" s="1"/>
      <c r="O18" s="4"/>
      <c r="P18" s="1"/>
      <c r="Q18" s="5">
        <f>IFERROR(VLOOKUP($A$5,Lookups!$B$112:$G$114,5,FALSE),0)</f>
        <v>0</v>
      </c>
      <c r="R18" s="1"/>
    </row>
    <row r="19" spans="1:18" x14ac:dyDescent="0.3">
      <c r="A19" s="3" t="s">
        <v>8</v>
      </c>
      <c r="B19" s="1"/>
      <c r="C19" s="4"/>
      <c r="D19" s="1"/>
      <c r="E19" s="6"/>
      <c r="F19" s="1"/>
      <c r="G19" s="4"/>
      <c r="H19" s="1"/>
      <c r="I19" s="6"/>
      <c r="J19" s="1"/>
      <c r="K19" s="4"/>
      <c r="L19" s="1"/>
      <c r="M19" s="6"/>
      <c r="N19" s="1"/>
      <c r="O19" s="4"/>
      <c r="P19" s="1"/>
      <c r="Q19" s="6"/>
      <c r="R19" s="1"/>
    </row>
    <row r="20" spans="1:18" x14ac:dyDescent="0.3">
      <c r="A20" s="3" t="s">
        <v>9</v>
      </c>
      <c r="B20" s="1"/>
      <c r="C20" s="4"/>
      <c r="D20" s="1"/>
      <c r="E20" s="7"/>
      <c r="F20" s="1"/>
      <c r="G20" s="4"/>
      <c r="H20" s="1"/>
      <c r="I20" s="7"/>
      <c r="J20" s="1"/>
      <c r="K20" s="4"/>
      <c r="L20" s="1"/>
      <c r="M20" s="7"/>
      <c r="N20" s="1"/>
      <c r="O20" s="4"/>
      <c r="P20" s="1"/>
      <c r="Q20" s="7"/>
      <c r="R20" s="1"/>
    </row>
    <row r="21" spans="1:18" ht="15" thickBot="1" x14ac:dyDescent="0.35">
      <c r="A21" s="3" t="s">
        <v>10</v>
      </c>
      <c r="B21" s="1"/>
      <c r="C21" s="4"/>
      <c r="D21" s="1"/>
      <c r="E21" s="8">
        <f>(E18+E19)/(1-E20)</f>
        <v>0</v>
      </c>
      <c r="F21" s="1"/>
      <c r="G21" s="4"/>
      <c r="H21" s="1"/>
      <c r="I21" s="8">
        <f>(I18+I19)/(1-I20)</f>
        <v>0</v>
      </c>
      <c r="J21" s="1"/>
      <c r="K21" s="4"/>
      <c r="L21" s="1"/>
      <c r="M21" s="8">
        <f>(M18+M19)/(1-M20)</f>
        <v>0</v>
      </c>
      <c r="N21" s="1"/>
      <c r="O21" s="4"/>
      <c r="P21" s="1"/>
      <c r="Q21" s="8">
        <f>ROUNDUP((Q18+Q19)/(1-Q20),2)</f>
        <v>0</v>
      </c>
      <c r="R21" s="1"/>
    </row>
    <row r="22" spans="1:18" ht="15" thickTop="1" x14ac:dyDescent="0.3">
      <c r="A22" s="3"/>
      <c r="B22" s="1"/>
      <c r="C22" s="4"/>
      <c r="D22" s="1"/>
      <c r="E22" s="15"/>
      <c r="F22" s="1"/>
      <c r="G22" s="4"/>
      <c r="H22" s="1"/>
      <c r="I22" s="15"/>
      <c r="J22" s="1"/>
      <c r="K22" s="4"/>
      <c r="L22" s="1"/>
      <c r="M22" s="15"/>
      <c r="N22" s="1"/>
      <c r="O22" s="4"/>
      <c r="P22" s="1"/>
      <c r="Q22" s="15"/>
      <c r="R22" s="1"/>
    </row>
    <row r="23" spans="1:18" x14ac:dyDescent="0.3">
      <c r="A23" s="384" t="s">
        <v>13</v>
      </c>
      <c r="B23" s="1"/>
      <c r="C23" s="4"/>
      <c r="D23" s="1"/>
      <c r="E23" s="5">
        <f>IFERROR(VLOOKUP($A$5,Lookups!$B$117:$G$119,2,FALSE),0)</f>
        <v>0</v>
      </c>
      <c r="F23" s="1"/>
      <c r="G23" s="4"/>
      <c r="H23" s="1"/>
      <c r="I23" s="5">
        <f>IFERROR(VLOOKUP($A$5,Lookups!$B$117:$G$119,3,FALSE),0)</f>
        <v>0</v>
      </c>
      <c r="J23" s="1"/>
      <c r="K23" s="4"/>
      <c r="L23" s="1"/>
      <c r="M23" s="5">
        <f>IFERROR(VLOOKUP($A$5,Lookups!$B$117:$G$119,4,FALSE),0)</f>
        <v>0</v>
      </c>
      <c r="N23" s="1"/>
      <c r="O23" s="4"/>
      <c r="P23" s="1"/>
      <c r="Q23" s="5">
        <f>IFERROR(VLOOKUP($A$5,Lookups!$B$117:$G$119,5,FALSE),0)</f>
        <v>0</v>
      </c>
      <c r="R23" s="1"/>
    </row>
    <row r="24" spans="1:18" x14ac:dyDescent="0.3">
      <c r="A24" s="3" t="s">
        <v>8</v>
      </c>
      <c r="B24" s="1"/>
      <c r="C24" s="4"/>
      <c r="D24" s="1"/>
      <c r="E24" s="6"/>
      <c r="F24" s="1"/>
      <c r="G24" s="4"/>
      <c r="H24" s="1"/>
      <c r="I24" s="6"/>
      <c r="J24" s="1"/>
      <c r="K24" s="4"/>
      <c r="L24" s="1"/>
      <c r="M24" s="6"/>
      <c r="N24" s="1"/>
      <c r="O24" s="4"/>
      <c r="P24" s="1"/>
      <c r="Q24" s="6"/>
      <c r="R24" s="1"/>
    </row>
    <row r="25" spans="1:18" x14ac:dyDescent="0.3">
      <c r="A25" s="3" t="s">
        <v>9</v>
      </c>
      <c r="B25" s="1"/>
      <c r="C25" s="4"/>
      <c r="D25" s="1"/>
      <c r="E25" s="7"/>
      <c r="F25" s="1"/>
      <c r="G25" s="4"/>
      <c r="H25" s="1"/>
      <c r="I25" s="7"/>
      <c r="J25" s="1"/>
      <c r="K25" s="4"/>
      <c r="L25" s="1"/>
      <c r="M25" s="7"/>
      <c r="N25" s="1"/>
      <c r="O25" s="4"/>
      <c r="P25" s="1"/>
      <c r="Q25" s="7"/>
      <c r="R25" s="1"/>
    </row>
    <row r="26" spans="1:18" ht="15" thickBot="1" x14ac:dyDescent="0.35">
      <c r="A26" s="3" t="s">
        <v>10</v>
      </c>
      <c r="B26" s="1"/>
      <c r="C26" s="4"/>
      <c r="D26" s="1"/>
      <c r="E26" s="8">
        <f>(E23+E24)/(1-E25)</f>
        <v>0</v>
      </c>
      <c r="F26" s="1"/>
      <c r="G26" s="4"/>
      <c r="H26" s="1"/>
      <c r="I26" s="8">
        <f>(I23+I24)/(1-I25)</f>
        <v>0</v>
      </c>
      <c r="J26" s="1"/>
      <c r="K26" s="4"/>
      <c r="L26" s="1"/>
      <c r="M26" s="8">
        <f>(M23+M24)/(1-M25)</f>
        <v>0</v>
      </c>
      <c r="N26" s="1"/>
      <c r="O26" s="4"/>
      <c r="P26" s="1"/>
      <c r="Q26" s="8">
        <f>ROUNDUP((Q23+Q24)/(1-Q25),2)</f>
        <v>0</v>
      </c>
      <c r="R26" s="1"/>
    </row>
    <row r="27" spans="1:18" ht="15" thickTop="1" x14ac:dyDescent="0.3">
      <c r="A27" s="3"/>
      <c r="B27" s="1"/>
      <c r="C27" s="4"/>
      <c r="D27" s="1"/>
      <c r="E27" s="5"/>
      <c r="F27" s="1"/>
      <c r="G27" s="4"/>
      <c r="H27" s="1"/>
      <c r="I27" s="5"/>
      <c r="J27" s="1"/>
      <c r="K27" s="4"/>
      <c r="L27" s="1"/>
      <c r="M27" s="5"/>
      <c r="N27" s="1"/>
      <c r="O27" s="4"/>
      <c r="P27" s="1"/>
      <c r="Q27" s="5"/>
      <c r="R27" s="1"/>
    </row>
    <row r="28" spans="1:18" x14ac:dyDescent="0.3">
      <c r="A28" s="384" t="s">
        <v>14</v>
      </c>
      <c r="B28" s="1"/>
      <c r="C28" s="4"/>
      <c r="D28" s="1"/>
      <c r="E28" s="5">
        <f>IFERROR(VLOOKUP($A$5,Lookups!$B$122:$G$124,2,FALSE),0)</f>
        <v>0</v>
      </c>
      <c r="F28" s="1"/>
      <c r="G28" s="4"/>
      <c r="H28" s="1"/>
      <c r="I28" s="5">
        <f>IFERROR(VLOOKUP($A$5,Lookups!$B$122:$G$124,3,FALSE),0)</f>
        <v>0</v>
      </c>
      <c r="J28" s="1"/>
      <c r="K28" s="4"/>
      <c r="L28" s="1"/>
      <c r="M28" s="5">
        <f>IFERROR(VLOOKUP($A$5,Lookups!$B$122:$G$124,4,FALSE),0)</f>
        <v>0</v>
      </c>
      <c r="N28" s="1"/>
      <c r="O28" s="4"/>
      <c r="P28" s="1"/>
      <c r="Q28" s="5">
        <f>IFERROR(VLOOKUP($A$5,Lookups!$B$122:$G$124,5,FALSE),0)</f>
        <v>0</v>
      </c>
      <c r="R28" s="1"/>
    </row>
    <row r="29" spans="1:18" x14ac:dyDescent="0.3">
      <c r="A29" s="3" t="s">
        <v>8</v>
      </c>
      <c r="B29" s="1"/>
      <c r="C29" s="4"/>
      <c r="D29" s="1"/>
      <c r="E29" s="6"/>
      <c r="F29" s="1"/>
      <c r="G29" s="4"/>
      <c r="H29" s="1"/>
      <c r="I29" s="6"/>
      <c r="J29" s="1"/>
      <c r="K29" s="4"/>
      <c r="L29" s="1"/>
      <c r="M29" s="6"/>
      <c r="N29" s="1"/>
      <c r="O29" s="4"/>
      <c r="P29" s="1"/>
      <c r="Q29" s="6"/>
      <c r="R29" s="1"/>
    </row>
    <row r="30" spans="1:18" x14ac:dyDescent="0.3">
      <c r="A30" s="3" t="s">
        <v>9</v>
      </c>
      <c r="B30" s="1"/>
      <c r="C30" s="4"/>
      <c r="D30" s="1"/>
      <c r="E30" s="7"/>
      <c r="F30" s="1"/>
      <c r="G30" s="4"/>
      <c r="H30" s="1"/>
      <c r="I30" s="7"/>
      <c r="J30" s="1"/>
      <c r="K30" s="4"/>
      <c r="L30" s="1"/>
      <c r="M30" s="7"/>
      <c r="N30" s="1"/>
      <c r="O30" s="4"/>
      <c r="P30" s="1"/>
      <c r="Q30" s="7"/>
      <c r="R30" s="1"/>
    </row>
    <row r="31" spans="1:18" ht="15" thickBot="1" x14ac:dyDescent="0.35">
      <c r="A31" s="3" t="s">
        <v>10</v>
      </c>
      <c r="B31" s="1"/>
      <c r="C31" s="4"/>
      <c r="D31" s="1"/>
      <c r="E31" s="8">
        <f>(E28+E29)/(1-E30)</f>
        <v>0</v>
      </c>
      <c r="F31" s="1"/>
      <c r="G31" s="4"/>
      <c r="H31" s="1"/>
      <c r="I31" s="8">
        <f>(I28+I29)/(1-I30)</f>
        <v>0</v>
      </c>
      <c r="J31" s="1"/>
      <c r="K31" s="4"/>
      <c r="L31" s="1"/>
      <c r="M31" s="8">
        <f>(M28+M29)/(1-M30)</f>
        <v>0</v>
      </c>
      <c r="N31" s="1"/>
      <c r="O31" s="4"/>
      <c r="P31" s="1"/>
      <c r="Q31" s="8">
        <f>ROUNDUP((Q28+Q29)/(1-Q30),2)</f>
        <v>0</v>
      </c>
      <c r="R31" s="1"/>
    </row>
    <row r="32" spans="1:18" ht="15" thickTop="1" x14ac:dyDescent="0.3">
      <c r="A32" s="3"/>
      <c r="B32" s="1"/>
      <c r="C32" s="4"/>
      <c r="D32" s="1"/>
      <c r="E32" s="15"/>
      <c r="F32" s="1"/>
      <c r="G32" s="4"/>
      <c r="H32" s="1"/>
      <c r="I32" s="15"/>
      <c r="J32" s="1"/>
      <c r="K32" s="4"/>
      <c r="L32" s="1"/>
      <c r="M32" s="15"/>
      <c r="N32" s="1"/>
      <c r="O32" s="4"/>
      <c r="P32" s="1"/>
      <c r="Q32" s="15"/>
      <c r="R32" s="1"/>
    </row>
    <row r="33" spans="1:28" x14ac:dyDescent="0.3">
      <c r="A33" s="9" t="s">
        <v>15</v>
      </c>
      <c r="B33" s="1"/>
      <c r="C33" s="4"/>
      <c r="D33" s="1"/>
      <c r="E33" s="5"/>
      <c r="F33" s="1"/>
      <c r="G33" s="4"/>
      <c r="H33" s="1"/>
      <c r="I33" s="5"/>
      <c r="J33" s="1"/>
      <c r="K33" s="4"/>
      <c r="L33" s="1"/>
      <c r="M33" s="5"/>
      <c r="N33" s="1"/>
      <c r="O33" s="4"/>
      <c r="P33" s="1"/>
      <c r="Q33" s="5"/>
      <c r="R33" s="1"/>
    </row>
    <row r="34" spans="1:28" x14ac:dyDescent="0.3">
      <c r="A34" s="10" t="s">
        <v>16</v>
      </c>
      <c r="B34" s="1"/>
      <c r="C34" s="4"/>
      <c r="D34" s="1"/>
      <c r="E34" s="11"/>
      <c r="F34" s="1"/>
      <c r="G34" s="4"/>
      <c r="H34" s="1"/>
      <c r="I34" s="11"/>
      <c r="J34" s="1"/>
      <c r="K34" s="4"/>
      <c r="L34" s="1"/>
      <c r="M34" s="11"/>
      <c r="N34" s="1"/>
      <c r="O34" s="4"/>
      <c r="P34" s="1"/>
      <c r="Q34" s="11"/>
      <c r="R34" s="1"/>
    </row>
    <row r="35" spans="1:28" x14ac:dyDescent="0.3">
      <c r="A35" s="3" t="s">
        <v>17</v>
      </c>
      <c r="B35" s="1"/>
      <c r="C35" s="12"/>
      <c r="D35" s="1"/>
      <c r="E35" s="11"/>
      <c r="F35" s="1"/>
      <c r="G35" s="12"/>
      <c r="H35" s="1"/>
      <c r="I35" s="11"/>
      <c r="J35" s="1"/>
      <c r="K35" s="12"/>
      <c r="L35" s="1"/>
      <c r="M35" s="11"/>
      <c r="N35" s="1"/>
      <c r="O35" s="12">
        <v>0</v>
      </c>
      <c r="P35" s="1"/>
      <c r="Q35" s="11"/>
      <c r="R35" s="1"/>
    </row>
    <row r="36" spans="1:28" x14ac:dyDescent="0.3">
      <c r="A36" s="3" t="s">
        <v>18</v>
      </c>
      <c r="B36" s="1"/>
      <c r="C36" s="13"/>
      <c r="D36" s="1"/>
      <c r="E36" s="11"/>
      <c r="F36" s="1"/>
      <c r="G36" s="13"/>
      <c r="H36" s="1"/>
      <c r="I36" s="11"/>
      <c r="J36" s="1"/>
      <c r="K36" s="13"/>
      <c r="L36" s="1"/>
      <c r="M36" s="11"/>
      <c r="N36" s="1"/>
      <c r="O36" s="13">
        <v>0</v>
      </c>
      <c r="P36" s="1"/>
      <c r="Q36" s="11"/>
      <c r="R36" s="1"/>
    </row>
    <row r="37" spans="1:28" x14ac:dyDescent="0.3">
      <c r="A37" s="3" t="s">
        <v>16</v>
      </c>
      <c r="B37" s="1"/>
      <c r="C37" s="14">
        <f>C35*C36</f>
        <v>0</v>
      </c>
      <c r="D37" s="1"/>
      <c r="E37" s="15">
        <f>C37</f>
        <v>0</v>
      </c>
      <c r="F37" s="1"/>
      <c r="G37" s="14">
        <f>G35*G36</f>
        <v>0</v>
      </c>
      <c r="H37" s="1"/>
      <c r="I37" s="15">
        <f>G37</f>
        <v>0</v>
      </c>
      <c r="J37" s="1"/>
      <c r="K37" s="14">
        <f>K35*K36</f>
        <v>0</v>
      </c>
      <c r="L37" s="1"/>
      <c r="M37" s="15">
        <f>K37</f>
        <v>0</v>
      </c>
      <c r="N37" s="1"/>
      <c r="O37" s="14">
        <f>O35*O36</f>
        <v>0</v>
      </c>
      <c r="P37" s="1"/>
      <c r="Q37" s="15">
        <f>O37</f>
        <v>0</v>
      </c>
      <c r="R37" s="1"/>
    </row>
    <row r="38" spans="1:28" x14ac:dyDescent="0.3">
      <c r="A38" s="3"/>
      <c r="B38" s="1"/>
      <c r="C38" s="16"/>
      <c r="D38" s="1"/>
      <c r="E38" s="15"/>
      <c r="F38" s="1"/>
      <c r="G38" s="16"/>
      <c r="H38" s="1"/>
      <c r="I38" s="15"/>
      <c r="J38" s="1"/>
      <c r="K38" s="16"/>
      <c r="L38" s="1"/>
      <c r="M38" s="15"/>
      <c r="N38" s="1"/>
      <c r="O38" s="16"/>
      <c r="P38" s="1"/>
      <c r="Q38" s="15"/>
      <c r="R38" s="1"/>
    </row>
    <row r="39" spans="1:28" x14ac:dyDescent="0.3">
      <c r="A39" s="10" t="s">
        <v>19</v>
      </c>
      <c r="B39" s="1"/>
      <c r="C39" s="16"/>
      <c r="D39" s="1"/>
      <c r="E39" s="15"/>
      <c r="F39" s="1"/>
      <c r="G39" s="16"/>
      <c r="H39" s="1"/>
      <c r="I39" s="15"/>
      <c r="J39" s="1"/>
      <c r="K39" s="16"/>
      <c r="L39" s="1"/>
      <c r="M39" s="15"/>
      <c r="N39" s="1"/>
      <c r="O39" s="16"/>
      <c r="P39" s="1"/>
      <c r="Q39" s="15"/>
      <c r="R39" s="1"/>
    </row>
    <row r="40" spans="1:28" x14ac:dyDescent="0.3">
      <c r="A40" s="17" t="s">
        <v>20</v>
      </c>
      <c r="B40" s="1"/>
      <c r="C40" s="16"/>
      <c r="D40" s="1"/>
      <c r="E40" s="6"/>
      <c r="F40" s="1"/>
      <c r="G40" s="16"/>
      <c r="H40" s="1"/>
      <c r="I40" s="6"/>
      <c r="J40" s="1"/>
      <c r="K40" s="16"/>
      <c r="L40" s="1"/>
      <c r="M40" s="6"/>
      <c r="N40" s="1"/>
      <c r="O40" s="16"/>
      <c r="P40" s="1"/>
      <c r="Q40" s="6"/>
      <c r="R40" s="1"/>
    </row>
    <row r="41" spans="1:28" x14ac:dyDescent="0.3">
      <c r="A41" s="17" t="s">
        <v>21</v>
      </c>
      <c r="B41" s="1"/>
      <c r="C41" s="16"/>
      <c r="D41" s="1"/>
      <c r="E41" s="6"/>
      <c r="F41" s="1"/>
      <c r="G41" s="16"/>
      <c r="H41" s="1"/>
      <c r="I41" s="6"/>
      <c r="J41" s="1"/>
      <c r="K41" s="16"/>
      <c r="L41" s="1"/>
      <c r="M41" s="6"/>
      <c r="N41" s="1"/>
      <c r="O41" s="16"/>
      <c r="P41" s="1"/>
      <c r="Q41" s="6"/>
      <c r="R41" s="1"/>
    </row>
    <row r="42" spans="1:28" x14ac:dyDescent="0.3">
      <c r="A42" s="17" t="s">
        <v>22</v>
      </c>
      <c r="B42" s="1"/>
      <c r="C42" s="16"/>
      <c r="D42" s="1"/>
      <c r="E42" s="6"/>
      <c r="F42" s="1"/>
      <c r="G42" s="16"/>
      <c r="H42" s="1"/>
      <c r="I42" s="6"/>
      <c r="J42" s="1"/>
      <c r="K42" s="16"/>
      <c r="L42" s="1"/>
      <c r="M42" s="6"/>
      <c r="N42" s="1"/>
      <c r="O42" s="16"/>
      <c r="P42" s="1"/>
      <c r="Q42" s="6"/>
      <c r="R42" s="1"/>
    </row>
    <row r="43" spans="1:28" x14ac:dyDescent="0.3">
      <c r="A43" s="17" t="s">
        <v>23</v>
      </c>
      <c r="B43" s="1"/>
      <c r="C43" s="16"/>
      <c r="D43" s="1"/>
      <c r="E43" s="6"/>
      <c r="F43" s="1"/>
      <c r="G43" s="16"/>
      <c r="H43" s="1"/>
      <c r="I43" s="6"/>
      <c r="J43" s="1"/>
      <c r="K43" s="16"/>
      <c r="L43" s="1"/>
      <c r="M43" s="6"/>
      <c r="N43" s="1"/>
      <c r="O43" s="16"/>
      <c r="P43" s="1"/>
      <c r="Q43" s="6"/>
      <c r="R43" s="1"/>
      <c r="S43" s="1"/>
      <c r="T43" s="1"/>
      <c r="AB43" s="1"/>
    </row>
    <row r="44" spans="1:28" x14ac:dyDescent="0.3">
      <c r="A44" s="17" t="s">
        <v>24</v>
      </c>
      <c r="B44" s="1"/>
      <c r="C44" s="16"/>
      <c r="D44" s="1"/>
      <c r="E44" s="6"/>
      <c r="F44" s="1"/>
      <c r="G44" s="16"/>
      <c r="H44" s="1"/>
      <c r="I44" s="6"/>
      <c r="J44" s="1"/>
      <c r="K44" s="16"/>
      <c r="L44" s="1"/>
      <c r="M44" s="6"/>
      <c r="N44" s="1"/>
      <c r="O44" s="16"/>
      <c r="P44" s="1"/>
      <c r="Q44" s="6"/>
      <c r="R44" s="1"/>
      <c r="S44" s="1"/>
      <c r="T44" s="1"/>
      <c r="AB44" s="1"/>
    </row>
    <row r="45" spans="1:28" x14ac:dyDescent="0.3">
      <c r="A45" s="17" t="s">
        <v>25</v>
      </c>
      <c r="B45" s="1"/>
      <c r="C45" s="16"/>
      <c r="D45" s="1"/>
      <c r="E45" s="6"/>
      <c r="F45" s="1"/>
      <c r="G45" s="16"/>
      <c r="H45" s="1"/>
      <c r="I45" s="6"/>
      <c r="J45" s="1"/>
      <c r="K45" s="16"/>
      <c r="L45" s="1"/>
      <c r="M45" s="6"/>
      <c r="N45" s="1"/>
      <c r="O45" s="16"/>
      <c r="P45" s="1"/>
      <c r="Q45" s="6"/>
    </row>
    <row r="46" spans="1:28" x14ac:dyDescent="0.3">
      <c r="A46" s="17" t="s">
        <v>26</v>
      </c>
      <c r="B46" s="1"/>
      <c r="C46" s="16"/>
      <c r="D46" s="1"/>
      <c r="E46" s="6"/>
      <c r="F46" s="1"/>
      <c r="G46" s="16"/>
      <c r="H46" s="1"/>
      <c r="I46" s="6"/>
      <c r="J46" s="1"/>
      <c r="K46" s="16"/>
      <c r="L46" s="1"/>
      <c r="M46" s="6"/>
      <c r="N46" s="1"/>
      <c r="O46" s="16"/>
      <c r="P46" s="1"/>
      <c r="Q46" s="6"/>
    </row>
    <row r="47" spans="1:28" x14ac:dyDescent="0.3">
      <c r="A47" s="17" t="s">
        <v>27</v>
      </c>
      <c r="B47" s="1"/>
      <c r="C47" s="16"/>
      <c r="D47" s="1"/>
      <c r="E47" s="6"/>
      <c r="F47" s="1"/>
      <c r="G47" s="16"/>
      <c r="H47" s="1"/>
      <c r="I47" s="6"/>
      <c r="J47" s="1"/>
      <c r="K47" s="16"/>
      <c r="L47" s="1"/>
      <c r="M47" s="6"/>
      <c r="N47" s="1"/>
      <c r="O47" s="16"/>
      <c r="P47" s="1"/>
      <c r="Q47" s="6"/>
    </row>
    <row r="48" spans="1:28" x14ac:dyDescent="0.3">
      <c r="A48" s="17" t="s">
        <v>28</v>
      </c>
      <c r="B48" s="1"/>
      <c r="C48" s="16"/>
      <c r="D48" s="1"/>
      <c r="E48" s="6"/>
      <c r="F48" s="1"/>
      <c r="G48" s="16"/>
      <c r="H48" s="1"/>
      <c r="I48" s="6"/>
      <c r="J48" s="1"/>
      <c r="K48" s="16"/>
      <c r="L48" s="1"/>
      <c r="M48" s="6"/>
      <c r="N48" s="1"/>
      <c r="O48" s="16"/>
      <c r="P48" s="1"/>
      <c r="Q48" s="6"/>
    </row>
    <row r="49" spans="1:28" x14ac:dyDescent="0.3">
      <c r="A49" s="17" t="s">
        <v>29</v>
      </c>
      <c r="B49" s="1"/>
      <c r="C49" s="16"/>
      <c r="D49" s="1"/>
      <c r="E49" s="6"/>
      <c r="F49" s="1"/>
      <c r="G49" s="16"/>
      <c r="H49" s="1"/>
      <c r="I49" s="6"/>
      <c r="J49" s="1"/>
      <c r="K49" s="16"/>
      <c r="L49" s="1"/>
      <c r="M49" s="6"/>
      <c r="N49" s="1"/>
      <c r="O49" s="16"/>
      <c r="P49" s="1"/>
      <c r="Q49" s="6"/>
    </row>
    <row r="50" spans="1:28" x14ac:dyDescent="0.3">
      <c r="A50" s="3"/>
      <c r="B50" s="1"/>
      <c r="C50" s="16"/>
      <c r="D50" s="1"/>
      <c r="E50" s="15"/>
      <c r="F50" s="1"/>
      <c r="G50" s="16"/>
      <c r="H50" s="1"/>
      <c r="I50" s="15"/>
      <c r="J50" s="1"/>
      <c r="K50" s="16"/>
      <c r="L50" s="1"/>
      <c r="M50" s="15"/>
      <c r="N50" s="1"/>
      <c r="O50" s="16"/>
      <c r="P50" s="1"/>
      <c r="Q50" s="15"/>
      <c r="R50" s="1"/>
      <c r="S50" s="1"/>
      <c r="T50" s="1"/>
      <c r="AB50" s="1"/>
    </row>
    <row r="51" spans="1:28" x14ac:dyDescent="0.3">
      <c r="A51" s="10" t="s">
        <v>30</v>
      </c>
      <c r="B51" s="1"/>
      <c r="C51" s="16"/>
      <c r="D51" s="1"/>
      <c r="E51" s="15"/>
      <c r="F51" s="1"/>
      <c r="G51" s="16"/>
      <c r="H51" s="1"/>
      <c r="I51" s="15"/>
      <c r="J51" s="1"/>
      <c r="K51" s="16"/>
      <c r="L51" s="1"/>
      <c r="M51" s="15"/>
      <c r="N51" s="1"/>
      <c r="O51" s="16"/>
      <c r="P51" s="1"/>
      <c r="Q51" s="15"/>
      <c r="R51" s="1"/>
      <c r="S51" s="1"/>
      <c r="T51" s="1"/>
      <c r="AB51" s="1"/>
    </row>
    <row r="52" spans="1:28" x14ac:dyDescent="0.3">
      <c r="A52" s="17" t="s">
        <v>20</v>
      </c>
      <c r="B52" s="1"/>
      <c r="C52" s="16"/>
      <c r="D52" s="1"/>
      <c r="E52" s="6"/>
      <c r="F52" s="1"/>
      <c r="G52" s="16"/>
      <c r="H52" s="1"/>
      <c r="I52" s="6"/>
      <c r="J52" s="1"/>
      <c r="K52" s="16"/>
      <c r="L52" s="1"/>
      <c r="M52" s="6"/>
      <c r="N52" s="1"/>
      <c r="O52" s="16"/>
      <c r="P52" s="1"/>
      <c r="Q52" s="6"/>
      <c r="R52" s="1"/>
      <c r="S52" s="1"/>
      <c r="T52" s="1"/>
      <c r="AB52" s="1"/>
    </row>
    <row r="53" spans="1:28" x14ac:dyDescent="0.3">
      <c r="A53" s="17" t="s">
        <v>21</v>
      </c>
      <c r="B53" s="1"/>
      <c r="C53" s="16"/>
      <c r="D53" s="1"/>
      <c r="E53" s="6"/>
      <c r="F53" s="1"/>
      <c r="G53" s="16"/>
      <c r="H53" s="1"/>
      <c r="I53" s="6"/>
      <c r="J53" s="1"/>
      <c r="K53" s="16"/>
      <c r="L53" s="1"/>
      <c r="M53" s="6"/>
      <c r="N53" s="1"/>
      <c r="O53" s="16"/>
      <c r="P53" s="1"/>
      <c r="Q53" s="6"/>
      <c r="R53" s="1"/>
      <c r="S53" s="1"/>
      <c r="T53" s="1"/>
      <c r="AB53" s="1"/>
    </row>
    <row r="54" spans="1:28" x14ac:dyDescent="0.3">
      <c r="A54" s="17" t="s">
        <v>22</v>
      </c>
      <c r="B54" s="1"/>
      <c r="C54" s="16"/>
      <c r="D54" s="1"/>
      <c r="E54" s="6"/>
      <c r="F54" s="1"/>
      <c r="G54" s="16"/>
      <c r="H54" s="1"/>
      <c r="I54" s="6"/>
      <c r="J54" s="1"/>
      <c r="K54" s="16"/>
      <c r="L54" s="1"/>
      <c r="M54" s="6"/>
      <c r="N54" s="1"/>
      <c r="O54" s="16"/>
      <c r="P54" s="1"/>
      <c r="Q54" s="6"/>
      <c r="R54" s="1"/>
      <c r="S54" s="1"/>
      <c r="T54" s="1"/>
      <c r="AB54" s="1"/>
    </row>
    <row r="55" spans="1:28" x14ac:dyDescent="0.3">
      <c r="A55" s="17" t="s">
        <v>23</v>
      </c>
      <c r="B55" s="1"/>
      <c r="C55" s="16"/>
      <c r="D55" s="1"/>
      <c r="E55" s="6"/>
      <c r="F55" s="1"/>
      <c r="G55" s="16"/>
      <c r="H55" s="1"/>
      <c r="I55" s="6"/>
      <c r="J55" s="1"/>
      <c r="K55" s="16"/>
      <c r="L55" s="1"/>
      <c r="M55" s="6"/>
      <c r="N55" s="1"/>
      <c r="O55" s="16"/>
      <c r="P55" s="1"/>
      <c r="Q55" s="6"/>
      <c r="R55" s="1"/>
      <c r="S55" s="1"/>
      <c r="T55" s="33"/>
      <c r="AB55" s="1"/>
    </row>
    <row r="56" spans="1:28" x14ac:dyDescent="0.3">
      <c r="A56" s="17" t="s">
        <v>24</v>
      </c>
      <c r="B56" s="1"/>
      <c r="C56" s="16"/>
      <c r="D56" s="1"/>
      <c r="E56" s="6"/>
      <c r="F56" s="1"/>
      <c r="G56" s="16"/>
      <c r="H56" s="1"/>
      <c r="I56" s="6"/>
      <c r="J56" s="1"/>
      <c r="K56" s="16"/>
      <c r="L56" s="1"/>
      <c r="M56" s="6"/>
      <c r="N56" s="1"/>
      <c r="O56" s="16"/>
      <c r="P56" s="1"/>
      <c r="Q56" s="6"/>
      <c r="R56" s="1"/>
      <c r="S56" s="1"/>
      <c r="T56" s="1"/>
      <c r="AB56" s="1"/>
    </row>
    <row r="57" spans="1:28" x14ac:dyDescent="0.3">
      <c r="A57" s="17" t="s">
        <v>25</v>
      </c>
      <c r="B57" s="1"/>
      <c r="C57" s="16"/>
      <c r="D57" s="1"/>
      <c r="E57" s="6"/>
      <c r="F57" s="1"/>
      <c r="G57" s="16"/>
      <c r="H57" s="1"/>
      <c r="I57" s="6"/>
      <c r="J57" s="1"/>
      <c r="K57" s="16"/>
      <c r="L57" s="1"/>
      <c r="M57" s="6"/>
      <c r="N57" s="1"/>
      <c r="O57" s="16"/>
      <c r="P57" s="1"/>
      <c r="Q57" s="6"/>
      <c r="R57" s="1"/>
      <c r="S57" s="1"/>
      <c r="T57" s="1"/>
      <c r="AB57" s="1"/>
    </row>
    <row r="58" spans="1:28" x14ac:dyDescent="0.3">
      <c r="A58" s="17" t="s">
        <v>26</v>
      </c>
      <c r="B58" s="1"/>
      <c r="C58" s="16"/>
      <c r="D58" s="1"/>
      <c r="E58" s="6"/>
      <c r="F58" s="1"/>
      <c r="G58" s="16"/>
      <c r="H58" s="1"/>
      <c r="I58" s="6"/>
      <c r="J58" s="1"/>
      <c r="K58" s="16"/>
      <c r="L58" s="1"/>
      <c r="M58" s="6"/>
      <c r="N58" s="1"/>
      <c r="O58" s="16"/>
      <c r="P58" s="1"/>
      <c r="Q58" s="6"/>
      <c r="R58" s="1"/>
      <c r="S58" s="1"/>
      <c r="T58" s="1"/>
      <c r="AB58" s="1"/>
    </row>
    <row r="59" spans="1:28" x14ac:dyDescent="0.3">
      <c r="A59" s="3"/>
      <c r="B59" s="1"/>
      <c r="C59" s="4"/>
      <c r="D59" s="1"/>
      <c r="E59" s="11"/>
      <c r="F59" s="1"/>
      <c r="G59" s="4"/>
      <c r="H59" s="1"/>
      <c r="I59" s="11"/>
      <c r="J59" s="1"/>
      <c r="K59" s="4"/>
      <c r="L59" s="1"/>
      <c r="M59" s="11"/>
      <c r="N59" s="1"/>
      <c r="O59" s="4"/>
      <c r="P59" s="1"/>
      <c r="Q59" s="15"/>
      <c r="R59" s="1"/>
      <c r="S59" s="1"/>
      <c r="T59" s="1"/>
      <c r="AB59" s="1"/>
    </row>
    <row r="60" spans="1:28" ht="15" thickBot="1" x14ac:dyDescent="0.35">
      <c r="A60" s="3" t="s">
        <v>31</v>
      </c>
      <c r="B60" s="1"/>
      <c r="C60" s="4"/>
      <c r="D60" s="1" t="s">
        <v>32</v>
      </c>
      <c r="E60" s="8">
        <f>SUM(E11,E16,E21,E26,E31,E37,E40:E49,E52:E58)</f>
        <v>0</v>
      </c>
      <c r="F60" s="1"/>
      <c r="G60" s="4"/>
      <c r="H60" s="1" t="s">
        <v>33</v>
      </c>
      <c r="I60" s="8">
        <f>SUM(I11,I16,I21,I26,I31,I37,I40:I49,I52:I58)</f>
        <v>0</v>
      </c>
      <c r="J60" s="1"/>
      <c r="K60" s="4"/>
      <c r="L60" s="1" t="s">
        <v>34</v>
      </c>
      <c r="M60" s="8">
        <f>SUM(M11,M16,M21,M26,M31,M37,M40:M49,M52:M58)</f>
        <v>0</v>
      </c>
      <c r="N60" s="1"/>
      <c r="O60" s="4"/>
      <c r="P60" s="1" t="s">
        <v>35</v>
      </c>
      <c r="Q60" s="8">
        <f>SUM(Q11,Q16,Q21,Q26,Q31,Q37,Q40:Q49,Q52:Q58)</f>
        <v>0</v>
      </c>
      <c r="R60" s="1"/>
    </row>
    <row r="61" spans="1:28" ht="15" thickTop="1" x14ac:dyDescent="0.3">
      <c r="A61" s="3"/>
      <c r="B61" s="1"/>
      <c r="C61" s="4"/>
      <c r="D61" s="1"/>
      <c r="E61" s="15"/>
      <c r="F61" s="1"/>
      <c r="G61" s="4"/>
      <c r="H61" s="1"/>
      <c r="I61" s="15"/>
      <c r="J61" s="1"/>
      <c r="K61" s="4"/>
      <c r="L61" s="1"/>
      <c r="M61" s="15"/>
      <c r="N61" s="1"/>
      <c r="O61" s="4"/>
      <c r="P61" s="1"/>
      <c r="Q61" s="15"/>
    </row>
    <row r="62" spans="1:28" x14ac:dyDescent="0.3">
      <c r="A62" s="10" t="s">
        <v>36</v>
      </c>
      <c r="B62" s="1"/>
      <c r="C62" s="4"/>
      <c r="D62" s="1"/>
      <c r="E62" s="15"/>
      <c r="F62" s="1"/>
      <c r="G62" s="4"/>
      <c r="H62" s="1"/>
      <c r="I62" s="15"/>
      <c r="J62" s="1"/>
      <c r="K62" s="4"/>
      <c r="L62" s="1"/>
      <c r="M62" s="15"/>
      <c r="N62" s="1"/>
      <c r="O62" s="4"/>
      <c r="P62" s="1"/>
      <c r="Q62" s="15"/>
    </row>
    <row r="63" spans="1:28" x14ac:dyDescent="0.3">
      <c r="A63" s="3" t="s">
        <v>37</v>
      </c>
      <c r="B63" s="1"/>
      <c r="C63" s="4"/>
      <c r="D63" s="1"/>
      <c r="E63" s="15"/>
      <c r="F63" s="1"/>
      <c r="G63" s="4"/>
      <c r="H63" s="1"/>
      <c r="I63" s="18"/>
      <c r="J63" s="1"/>
      <c r="K63" s="4"/>
      <c r="L63" s="1"/>
      <c r="M63" s="15"/>
      <c r="N63" s="1"/>
      <c r="O63" s="4"/>
      <c r="P63" s="1"/>
      <c r="Q63" s="15"/>
    </row>
    <row r="64" spans="1:28" ht="15" thickBot="1" x14ac:dyDescent="0.35">
      <c r="A64" s="3" t="s">
        <v>38</v>
      </c>
      <c r="B64" s="1"/>
      <c r="C64" s="4"/>
      <c r="D64" s="1"/>
      <c r="E64" s="15"/>
      <c r="F64" s="1"/>
      <c r="G64" s="4"/>
      <c r="H64" s="1" t="s">
        <v>39</v>
      </c>
      <c r="I64" s="8">
        <f>+I60*I63</f>
        <v>0</v>
      </c>
      <c r="J64" s="1"/>
      <c r="K64" s="4"/>
      <c r="L64" s="1"/>
      <c r="M64" s="15"/>
      <c r="N64" s="1"/>
      <c r="O64" s="4"/>
      <c r="P64" s="1"/>
      <c r="Q64" s="15"/>
    </row>
    <row r="65" spans="1:17" ht="15" thickTop="1" x14ac:dyDescent="0.3">
      <c r="A65" s="19"/>
      <c r="B65" s="1"/>
      <c r="C65" s="20"/>
      <c r="D65" s="21"/>
      <c r="E65" s="22"/>
      <c r="F65" s="1"/>
      <c r="G65" s="20"/>
      <c r="H65" s="21"/>
      <c r="I65" s="22"/>
      <c r="J65" s="1"/>
      <c r="K65" s="20"/>
      <c r="L65" s="21"/>
      <c r="M65" s="22"/>
      <c r="N65" s="1"/>
      <c r="O65" s="20"/>
      <c r="P65" s="21"/>
      <c r="Q65" s="22"/>
    </row>
    <row r="66" spans="1:17" x14ac:dyDescent="0.3">
      <c r="A66" s="1"/>
      <c r="B66" s="1"/>
      <c r="C66" s="1"/>
      <c r="D66" s="1"/>
      <c r="E66" s="1"/>
      <c r="F66" s="1"/>
      <c r="G66" s="1"/>
      <c r="H66" s="1"/>
      <c r="I66" s="1"/>
      <c r="J66" s="1"/>
      <c r="K66" s="1"/>
      <c r="L66" s="1"/>
      <c r="M66" s="1"/>
      <c r="N66" s="1"/>
      <c r="O66" s="1"/>
      <c r="P66" s="1"/>
      <c r="Q66" s="1"/>
    </row>
    <row r="67" spans="1:17" x14ac:dyDescent="0.3">
      <c r="A67" s="23" t="s">
        <v>40</v>
      </c>
      <c r="B67" s="24"/>
      <c r="C67" s="448"/>
      <c r="D67" s="448"/>
      <c r="E67" s="448"/>
      <c r="F67" s="24"/>
      <c r="G67" s="448"/>
      <c r="H67" s="448"/>
      <c r="I67" s="448"/>
      <c r="J67" s="448"/>
      <c r="K67" s="448"/>
      <c r="L67" s="448"/>
      <c r="M67" s="448"/>
      <c r="N67" s="448"/>
      <c r="O67" s="448"/>
      <c r="P67" s="448"/>
      <c r="Q67" s="449"/>
    </row>
    <row r="68" spans="1:17" x14ac:dyDescent="0.3">
      <c r="A68" s="25" t="s">
        <v>41</v>
      </c>
      <c r="B68" s="26"/>
      <c r="C68" s="26"/>
      <c r="D68" s="26"/>
      <c r="E68" s="26"/>
      <c r="F68" s="26"/>
      <c r="G68" s="26"/>
      <c r="H68" s="26"/>
      <c r="I68" s="26"/>
      <c r="J68" s="26"/>
      <c r="K68" s="26"/>
      <c r="L68" s="26"/>
      <c r="M68" s="26"/>
      <c r="N68" s="26"/>
      <c r="O68" s="26"/>
      <c r="P68" s="26"/>
      <c r="Q68" s="27"/>
    </row>
    <row r="69" spans="1:17" x14ac:dyDescent="0.3">
      <c r="A69" s="4" t="s">
        <v>3</v>
      </c>
      <c r="B69" s="1"/>
      <c r="C69" s="1"/>
      <c r="D69" s="1" t="s">
        <v>32</v>
      </c>
      <c r="E69" s="28">
        <f>E60</f>
        <v>0</v>
      </c>
      <c r="F69" s="1"/>
      <c r="G69" s="1"/>
      <c r="K69" s="1"/>
      <c r="P69" s="1"/>
      <c r="Q69" s="29"/>
    </row>
    <row r="70" spans="1:17" x14ac:dyDescent="0.3">
      <c r="A70" s="4" t="s">
        <v>4</v>
      </c>
      <c r="B70" s="1"/>
      <c r="C70" s="1"/>
      <c r="D70" s="1" t="s">
        <v>33</v>
      </c>
      <c r="E70" s="28">
        <f>IF(AND(ISBLANK(I63),I60&gt;0),I60,0)</f>
        <v>0</v>
      </c>
      <c r="F70" s="1" t="str">
        <f>IF(I63&gt;0,"Financing selected","")</f>
        <v/>
      </c>
      <c r="P70" s="1"/>
      <c r="Q70" s="15"/>
    </row>
    <row r="71" spans="1:17" x14ac:dyDescent="0.3">
      <c r="A71" s="4" t="s">
        <v>42</v>
      </c>
      <c r="B71" s="1"/>
      <c r="C71" s="1"/>
      <c r="D71" s="1" t="s">
        <v>34</v>
      </c>
      <c r="E71" s="28">
        <f>M60</f>
        <v>0</v>
      </c>
      <c r="F71" s="1" t="str">
        <f>IF(I64&gt;0,"Financing selected","")</f>
        <v/>
      </c>
      <c r="G71" s="32" t="s">
        <v>43</v>
      </c>
      <c r="P71" s="1"/>
      <c r="Q71" s="15"/>
    </row>
    <row r="72" spans="1:17" ht="15" thickBot="1" x14ac:dyDescent="0.35">
      <c r="A72" s="4" t="s">
        <v>44</v>
      </c>
      <c r="B72" s="1"/>
      <c r="C72" s="1"/>
      <c r="D72" s="1"/>
      <c r="E72" s="30">
        <f>E69+E70+E71</f>
        <v>0</v>
      </c>
      <c r="F72" s="1"/>
      <c r="G72" s="1"/>
      <c r="K72" s="1"/>
      <c r="P72" s="1"/>
      <c r="Q72" s="29"/>
    </row>
    <row r="73" spans="1:17" ht="15" thickTop="1" x14ac:dyDescent="0.3">
      <c r="A73" s="4"/>
      <c r="B73" s="1"/>
      <c r="C73" s="1"/>
      <c r="D73" s="1"/>
      <c r="E73" s="31"/>
      <c r="F73" s="1"/>
      <c r="G73" s="1"/>
      <c r="K73" s="1"/>
      <c r="P73" s="1"/>
      <c r="Q73" s="29"/>
    </row>
    <row r="74" spans="1:17" x14ac:dyDescent="0.3">
      <c r="A74" s="25" t="s">
        <v>6</v>
      </c>
      <c r="B74" s="26"/>
      <c r="C74" s="26"/>
      <c r="D74" s="26"/>
      <c r="E74" s="26"/>
      <c r="F74" s="26"/>
      <c r="G74" s="26"/>
      <c r="H74" s="26"/>
      <c r="I74" s="26"/>
      <c r="J74" s="26"/>
      <c r="K74" s="26"/>
      <c r="L74" s="26"/>
      <c r="M74" s="26"/>
      <c r="N74" s="26"/>
      <c r="O74" s="26"/>
      <c r="P74" s="26"/>
      <c r="Q74" s="27"/>
    </row>
    <row r="75" spans="1:17" x14ac:dyDescent="0.3">
      <c r="A75" s="4" t="s">
        <v>45</v>
      </c>
      <c r="B75" s="1"/>
      <c r="C75" s="1"/>
      <c r="D75" s="1" t="s">
        <v>35</v>
      </c>
      <c r="E75" s="31">
        <f>Q60</f>
        <v>0</v>
      </c>
      <c r="F75" s="1"/>
      <c r="G75" s="1"/>
      <c r="H75" s="1"/>
      <c r="I75" s="1"/>
      <c r="J75" s="1"/>
      <c r="K75" s="1"/>
      <c r="L75" s="1"/>
      <c r="M75" s="1"/>
      <c r="N75" s="1"/>
      <c r="O75" s="1"/>
      <c r="P75" s="1"/>
      <c r="Q75" s="29"/>
    </row>
    <row r="76" spans="1:17" x14ac:dyDescent="0.3">
      <c r="A76" s="4" t="s">
        <v>46</v>
      </c>
      <c r="B76" s="1"/>
      <c r="C76" s="1"/>
      <c r="D76" s="1" t="s">
        <v>39</v>
      </c>
      <c r="E76" s="31">
        <f>I64</f>
        <v>0</v>
      </c>
      <c r="F76" s="1" t="str">
        <f>IF(AND(ISBLANK(I63),I60&gt;0),"Financing not selected"," ")</f>
        <v xml:space="preserve"> </v>
      </c>
      <c r="G76" s="1"/>
      <c r="H76" s="1"/>
      <c r="I76" s="1"/>
      <c r="J76" s="1"/>
      <c r="K76" s="1"/>
      <c r="L76" s="1"/>
      <c r="M76" s="1"/>
      <c r="N76" s="1"/>
      <c r="O76" s="1"/>
      <c r="P76" s="1"/>
      <c r="Q76" s="29"/>
    </row>
    <row r="77" spans="1:17" ht="15" thickBot="1" x14ac:dyDescent="0.35">
      <c r="A77" s="4" t="s">
        <v>47</v>
      </c>
      <c r="B77" s="1"/>
      <c r="C77" s="1"/>
      <c r="D77" s="1"/>
      <c r="E77" s="30">
        <f>+E75+E76</f>
        <v>0</v>
      </c>
      <c r="F77" s="1"/>
      <c r="G77" s="32" t="s">
        <v>48</v>
      </c>
      <c r="H77" s="1"/>
      <c r="I77" s="1"/>
      <c r="J77" s="1"/>
      <c r="K77" s="32"/>
      <c r="L77" s="1"/>
      <c r="M77" s="1"/>
      <c r="N77" s="1"/>
      <c r="O77" s="1"/>
      <c r="P77" s="1"/>
      <c r="Q77" s="29"/>
    </row>
    <row r="78" spans="1:17" ht="15" thickTop="1" x14ac:dyDescent="0.3">
      <c r="A78" s="4"/>
      <c r="B78" s="1"/>
      <c r="C78" s="1"/>
      <c r="D78" s="1"/>
      <c r="E78" s="31"/>
      <c r="F78" s="1"/>
      <c r="G78" s="1"/>
      <c r="H78" s="1"/>
      <c r="I78" s="1"/>
      <c r="J78" s="1"/>
      <c r="K78" s="1"/>
      <c r="L78" s="1"/>
      <c r="M78" s="1"/>
      <c r="N78" s="1"/>
      <c r="O78" s="1"/>
      <c r="P78" s="1"/>
      <c r="Q78" s="29"/>
    </row>
    <row r="79" spans="1:17" x14ac:dyDescent="0.3">
      <c r="A79" s="4" t="str">
        <f>IF(A25="NOC Services","Number of Workstations","Number of Users")</f>
        <v>Number of Users</v>
      </c>
      <c r="B79" s="1"/>
      <c r="C79" s="1"/>
      <c r="D79" s="1"/>
      <c r="E79" s="214">
        <f>IFERROR(VLOOKUP($A$5,Lookups!$B$4:$G$6,6,FALSE),0)</f>
        <v>0</v>
      </c>
      <c r="F79" s="1"/>
      <c r="G79" s="1"/>
      <c r="H79" s="1"/>
      <c r="I79" s="1"/>
      <c r="J79" s="1"/>
      <c r="K79" s="1"/>
      <c r="L79" s="1"/>
      <c r="M79" s="1"/>
      <c r="N79" s="1"/>
      <c r="O79" s="1"/>
      <c r="P79" s="1"/>
      <c r="Q79" s="29"/>
    </row>
    <row r="80" spans="1:17" ht="15" thickBot="1" x14ac:dyDescent="0.35">
      <c r="A80" s="4" t="str">
        <f>IF(A25="NOC Services","Monthly Recurring Price per Workstation","Monthly Recurring Price per User")</f>
        <v>Monthly Recurring Price per User</v>
      </c>
      <c r="B80" s="1"/>
      <c r="C80" s="1"/>
      <c r="D80" s="1"/>
      <c r="E80" s="30">
        <f>IFERROR(E77/E79,0)</f>
        <v>0</v>
      </c>
      <c r="F80" s="1"/>
      <c r="G80" s="1"/>
      <c r="H80" s="1"/>
      <c r="I80" s="1"/>
      <c r="J80" s="1"/>
      <c r="K80" s="1"/>
      <c r="L80" s="1"/>
      <c r="M80" s="1"/>
      <c r="N80" s="1"/>
      <c r="O80" s="1"/>
      <c r="P80" s="1"/>
      <c r="Q80" s="29"/>
    </row>
    <row r="81" spans="1:17" ht="15" thickTop="1" x14ac:dyDescent="0.3">
      <c r="A81" s="4"/>
      <c r="B81" s="1"/>
      <c r="C81" s="1"/>
      <c r="D81" s="1"/>
      <c r="E81" s="31"/>
      <c r="F81" s="1"/>
      <c r="G81" s="1"/>
      <c r="H81" s="1"/>
      <c r="I81" s="1"/>
      <c r="J81" s="1"/>
      <c r="K81" s="1"/>
      <c r="L81" s="1"/>
      <c r="M81" s="1"/>
      <c r="N81" s="1"/>
      <c r="O81" s="1"/>
      <c r="P81" s="1"/>
      <c r="Q81" s="29"/>
    </row>
    <row r="82" spans="1:17" x14ac:dyDescent="0.3">
      <c r="A82" s="4" t="s">
        <v>49</v>
      </c>
      <c r="B82" s="1"/>
      <c r="C82" s="1"/>
      <c r="D82" s="1"/>
      <c r="E82" s="31">
        <f>E77/172</f>
        <v>0</v>
      </c>
      <c r="F82" s="1"/>
      <c r="G82" s="32" t="s">
        <v>50</v>
      </c>
      <c r="H82" s="1"/>
      <c r="I82" s="1"/>
      <c r="J82" s="1"/>
      <c r="K82" s="32"/>
      <c r="L82" s="1"/>
      <c r="M82" s="1"/>
      <c r="N82" s="1"/>
      <c r="O82" s="1"/>
      <c r="P82" s="1"/>
      <c r="Q82" s="29"/>
    </row>
    <row r="83" spans="1:17" x14ac:dyDescent="0.3">
      <c r="A83" s="20" t="s">
        <v>51</v>
      </c>
      <c r="B83" s="21"/>
      <c r="C83" s="21"/>
      <c r="D83" s="21"/>
      <c r="E83" s="34">
        <f>IF((E77-(E72/36))/172&lt;0,0,(E77-(E72/36))/172)</f>
        <v>0</v>
      </c>
      <c r="F83" s="21"/>
      <c r="G83" s="21"/>
      <c r="H83" s="21"/>
      <c r="I83" s="21"/>
      <c r="J83" s="21"/>
      <c r="K83" s="21"/>
      <c r="L83" s="21"/>
      <c r="M83" s="21"/>
      <c r="N83" s="21"/>
      <c r="O83" s="21"/>
      <c r="P83" s="21"/>
      <c r="Q83" s="22"/>
    </row>
    <row r="84" spans="1:17" x14ac:dyDescent="0.3">
      <c r="A84" s="1"/>
      <c r="B84" s="1"/>
      <c r="C84" s="1"/>
      <c r="D84" s="1"/>
      <c r="E84" s="1"/>
      <c r="F84" s="1"/>
    </row>
    <row r="85" spans="1:17" x14ac:dyDescent="0.3">
      <c r="A85" s="35" t="s">
        <v>52</v>
      </c>
      <c r="B85" s="1"/>
      <c r="C85" s="1"/>
      <c r="D85" s="1"/>
      <c r="E85" s="1"/>
      <c r="F85" s="1"/>
    </row>
    <row r="86" spans="1:17" x14ac:dyDescent="0.3"/>
    <row r="87" spans="1:17" ht="15" hidden="1" customHeight="1" x14ac:dyDescent="0.3">
      <c r="A87" s="35" t="s">
        <v>52</v>
      </c>
    </row>
    <row r="88" spans="1:17" ht="15" hidden="1" customHeight="1" x14ac:dyDescent="0.3">
      <c r="A88" s="20" t="s">
        <v>51</v>
      </c>
      <c r="B88" s="21"/>
      <c r="C88" s="21"/>
      <c r="D88" s="21"/>
      <c r="E88" s="34">
        <f>IF((E77-(E72/36))/172&lt;0,0,(E77-(E72/36))/172)</f>
        <v>0</v>
      </c>
      <c r="F88" s="21"/>
      <c r="G88" s="21"/>
      <c r="H88" s="21"/>
      <c r="I88" s="21"/>
      <c r="J88" s="21"/>
      <c r="K88" s="21"/>
      <c r="L88" s="21"/>
      <c r="M88" s="21"/>
      <c r="N88" s="21"/>
      <c r="O88" s="21"/>
      <c r="P88" s="21"/>
      <c r="Q88" s="22"/>
    </row>
    <row r="89" spans="1:17" ht="15" hidden="1" customHeight="1" x14ac:dyDescent="0.3">
      <c r="A89" s="1"/>
      <c r="B89" s="1"/>
      <c r="C89" s="1"/>
      <c r="D89" s="1"/>
      <c r="E89" s="1"/>
      <c r="F89" s="1"/>
    </row>
    <row r="90" spans="1:17" ht="15" hidden="1" customHeight="1" x14ac:dyDescent="0.3">
      <c r="A90" s="35" t="s">
        <v>52</v>
      </c>
    </row>
    <row r="91" spans="1:17" hidden="1" x14ac:dyDescent="0.3">
      <c r="A91" s="1"/>
      <c r="B91" s="1"/>
      <c r="C91" s="1"/>
      <c r="D91" s="1"/>
      <c r="E91" s="1"/>
      <c r="F91" s="1"/>
      <c r="G91" s="1"/>
      <c r="H91" s="1"/>
      <c r="I91" s="1"/>
      <c r="J91" s="1"/>
      <c r="K91" s="1"/>
      <c r="L91" s="1"/>
      <c r="M91" s="1"/>
      <c r="N91" s="1"/>
      <c r="O91" s="1"/>
      <c r="P91" s="1"/>
      <c r="Q91" s="1"/>
    </row>
    <row r="92" spans="1:17" hidden="1" x14ac:dyDescent="0.3">
      <c r="A92" s="1"/>
      <c r="B92" s="1"/>
      <c r="C92" s="1"/>
      <c r="D92" s="1"/>
      <c r="E92" s="1"/>
      <c r="F92" s="1"/>
      <c r="G92" s="1"/>
      <c r="H92" s="1"/>
      <c r="I92" s="1"/>
      <c r="J92" s="1"/>
      <c r="K92" s="1"/>
      <c r="L92" s="1"/>
      <c r="M92" s="1"/>
      <c r="N92" s="1"/>
      <c r="O92" s="1"/>
      <c r="P92" s="1"/>
      <c r="Q92" s="1"/>
    </row>
    <row r="93" spans="1:17" hidden="1" x14ac:dyDescent="0.3">
      <c r="A93" s="1"/>
      <c r="B93" s="1"/>
      <c r="C93" s="1"/>
      <c r="D93" s="1"/>
      <c r="E93" s="1"/>
      <c r="F93" s="1"/>
      <c r="G93" s="1"/>
      <c r="H93" s="1"/>
      <c r="I93" s="1"/>
      <c r="J93" s="1"/>
      <c r="K93" s="1"/>
      <c r="L93" s="1"/>
      <c r="M93" s="1"/>
      <c r="N93" s="1"/>
      <c r="O93" s="1"/>
      <c r="P93" s="1"/>
      <c r="Q93" s="1"/>
    </row>
    <row r="94" spans="1:17" hidden="1" x14ac:dyDescent="0.3">
      <c r="A94" s="1"/>
      <c r="B94" s="1"/>
      <c r="C94" s="1"/>
      <c r="D94" s="1"/>
      <c r="E94" s="1"/>
      <c r="F94" s="1"/>
      <c r="G94" s="1"/>
      <c r="H94" s="1"/>
      <c r="I94" s="1"/>
      <c r="J94" s="1"/>
      <c r="K94" s="1"/>
      <c r="L94" s="1"/>
      <c r="M94" s="1"/>
      <c r="N94" s="1"/>
      <c r="O94" s="1"/>
      <c r="P94" s="1"/>
      <c r="Q94" s="1"/>
    </row>
    <row r="95" spans="1:17" hidden="1" x14ac:dyDescent="0.3">
      <c r="A95" s="1"/>
      <c r="B95" s="1"/>
      <c r="C95" s="1"/>
      <c r="D95" s="1"/>
      <c r="E95" s="1"/>
      <c r="F95" s="1"/>
      <c r="G95" s="1"/>
      <c r="H95" s="1"/>
      <c r="I95" s="1"/>
      <c r="J95" s="1"/>
      <c r="K95" s="1"/>
      <c r="L95" s="1"/>
      <c r="M95" s="1"/>
      <c r="N95" s="1"/>
      <c r="O95" s="1"/>
      <c r="P95" s="1"/>
      <c r="Q95" s="1"/>
    </row>
    <row r="96" spans="1:17" hidden="1" x14ac:dyDescent="0.3">
      <c r="A96" s="1"/>
      <c r="B96" s="1"/>
      <c r="C96" s="1"/>
      <c r="D96" s="1"/>
      <c r="E96" s="1"/>
      <c r="F96" s="1"/>
      <c r="G96" s="1"/>
      <c r="H96" s="1"/>
      <c r="I96" s="1"/>
      <c r="J96" s="1"/>
      <c r="K96" s="1"/>
      <c r="L96" s="1"/>
      <c r="M96" s="1"/>
      <c r="N96" s="1"/>
      <c r="O96" s="1"/>
      <c r="P96" s="1"/>
      <c r="Q96" s="1"/>
    </row>
    <row r="97" spans="1:17" hidden="1" x14ac:dyDescent="0.3">
      <c r="A97" s="1"/>
      <c r="B97" s="1"/>
      <c r="C97" s="1"/>
      <c r="D97" s="1"/>
      <c r="E97" s="1"/>
      <c r="F97" s="1"/>
      <c r="G97" s="1"/>
      <c r="H97" s="1"/>
      <c r="I97" s="1"/>
      <c r="J97" s="1"/>
      <c r="K97" s="1"/>
      <c r="L97" s="1"/>
      <c r="M97" s="1"/>
      <c r="N97" s="1"/>
      <c r="O97" s="1"/>
      <c r="P97" s="1"/>
      <c r="Q97" s="1"/>
    </row>
    <row r="98" spans="1:17" hidden="1" x14ac:dyDescent="0.3">
      <c r="A98" s="1"/>
      <c r="B98" s="1"/>
      <c r="C98" s="1"/>
      <c r="D98" s="1"/>
      <c r="E98" s="1"/>
      <c r="F98" s="1"/>
      <c r="G98" s="1"/>
      <c r="H98" s="1"/>
      <c r="I98" s="1"/>
      <c r="J98" s="1"/>
      <c r="K98" s="1"/>
      <c r="L98" s="1"/>
      <c r="M98" s="1"/>
      <c r="N98" s="1"/>
      <c r="O98" s="1"/>
      <c r="P98" s="1"/>
      <c r="Q98" s="1"/>
    </row>
    <row r="99" spans="1:17" hidden="1" x14ac:dyDescent="0.3">
      <c r="A99" s="1"/>
      <c r="B99" s="1"/>
      <c r="C99" s="1"/>
      <c r="D99" s="1"/>
      <c r="E99" s="1"/>
      <c r="F99" s="1"/>
      <c r="G99" s="1"/>
      <c r="H99" s="1"/>
      <c r="I99" s="1"/>
      <c r="J99" s="1"/>
      <c r="K99" s="1"/>
      <c r="L99" s="1"/>
      <c r="M99" s="1"/>
      <c r="N99" s="1"/>
      <c r="O99" s="1"/>
      <c r="P99" s="1"/>
      <c r="Q99" s="1"/>
    </row>
    <row r="100" spans="1:17" hidden="1" x14ac:dyDescent="0.3">
      <c r="A100" s="1"/>
      <c r="B100" s="1"/>
      <c r="C100" s="1"/>
      <c r="D100" s="1"/>
      <c r="E100" s="1"/>
      <c r="F100" s="1"/>
      <c r="G100" s="1"/>
      <c r="H100" s="1"/>
      <c r="I100" s="1"/>
      <c r="J100" s="1"/>
      <c r="K100" s="1"/>
      <c r="L100" s="1"/>
      <c r="M100" s="1"/>
      <c r="N100" s="1"/>
      <c r="O100" s="1"/>
      <c r="P100" s="1"/>
      <c r="Q100" s="1"/>
    </row>
    <row r="101" spans="1:17" hidden="1" x14ac:dyDescent="0.3">
      <c r="A101" s="1"/>
      <c r="B101" s="1"/>
      <c r="C101" s="1"/>
      <c r="D101" s="1"/>
      <c r="E101" s="1"/>
      <c r="F101" s="1"/>
      <c r="G101" s="1"/>
      <c r="H101" s="1"/>
      <c r="I101" s="1"/>
      <c r="J101" s="1"/>
      <c r="K101" s="1"/>
      <c r="L101" s="1"/>
      <c r="M101" s="1"/>
      <c r="N101" s="1"/>
      <c r="O101" s="1"/>
      <c r="P101" s="1"/>
      <c r="Q101" s="1"/>
    </row>
    <row r="102" spans="1:17" hidden="1" x14ac:dyDescent="0.3">
      <c r="A102" s="1"/>
      <c r="B102" s="1"/>
      <c r="C102" s="1"/>
      <c r="D102" s="1"/>
      <c r="E102" s="1"/>
      <c r="F102" s="1"/>
      <c r="G102" s="1"/>
      <c r="H102" s="1"/>
      <c r="I102" s="1"/>
      <c r="J102" s="1"/>
      <c r="K102" s="1"/>
      <c r="L102" s="1"/>
      <c r="M102" s="1"/>
      <c r="N102" s="1"/>
      <c r="O102" s="1"/>
      <c r="P102" s="1"/>
      <c r="Q102" s="1"/>
    </row>
    <row r="103" spans="1:17" hidden="1" x14ac:dyDescent="0.3">
      <c r="A103" s="1"/>
      <c r="B103" s="1"/>
      <c r="C103" s="1"/>
      <c r="D103" s="1"/>
      <c r="E103" s="1"/>
      <c r="F103" s="1"/>
      <c r="G103" s="1"/>
      <c r="H103" s="1"/>
      <c r="I103" s="1"/>
      <c r="J103" s="1"/>
      <c r="K103" s="1"/>
      <c r="L103" s="1"/>
      <c r="M103" s="1"/>
      <c r="N103" s="1"/>
      <c r="O103" s="1"/>
      <c r="P103" s="1"/>
      <c r="Q103" s="1"/>
    </row>
    <row r="104" spans="1:17" hidden="1" x14ac:dyDescent="0.3">
      <c r="A104" s="1"/>
      <c r="B104" s="1"/>
      <c r="C104" s="1"/>
      <c r="D104" s="1"/>
      <c r="E104" s="1"/>
      <c r="F104" s="1"/>
      <c r="G104" s="1"/>
      <c r="H104" s="1"/>
      <c r="I104" s="1"/>
      <c r="J104" s="1"/>
      <c r="K104" s="1"/>
      <c r="L104" s="1"/>
      <c r="M104" s="1"/>
      <c r="N104" s="1"/>
      <c r="O104" s="1"/>
      <c r="P104" s="1"/>
      <c r="Q104" s="1"/>
    </row>
    <row r="105" spans="1:17" hidden="1" x14ac:dyDescent="0.3">
      <c r="A105" s="1"/>
      <c r="B105" s="1"/>
      <c r="C105" s="1"/>
      <c r="D105" s="1"/>
      <c r="E105" s="1"/>
      <c r="F105" s="1"/>
      <c r="G105" s="1"/>
      <c r="H105" s="1"/>
      <c r="I105" s="1"/>
      <c r="J105" s="1"/>
      <c r="K105" s="1"/>
      <c r="L105" s="1"/>
      <c r="M105" s="1"/>
      <c r="N105" s="1"/>
      <c r="O105" s="1"/>
      <c r="P105" s="1"/>
      <c r="Q105" s="1"/>
    </row>
    <row r="106" spans="1:17" hidden="1" x14ac:dyDescent="0.3">
      <c r="A106" s="23" t="s">
        <v>40</v>
      </c>
      <c r="B106" s="24"/>
      <c r="C106" s="448"/>
      <c r="D106" s="448"/>
      <c r="E106" s="448"/>
      <c r="F106" s="24"/>
      <c r="G106" s="448"/>
      <c r="H106" s="448"/>
      <c r="I106" s="448"/>
      <c r="J106" s="448"/>
      <c r="K106" s="448"/>
      <c r="L106" s="448"/>
      <c r="M106" s="448"/>
      <c r="N106" s="448"/>
      <c r="O106" s="448"/>
      <c r="P106" s="448"/>
      <c r="Q106" s="449"/>
    </row>
    <row r="107" spans="1:17" hidden="1" x14ac:dyDescent="0.3">
      <c r="A107" s="25" t="s">
        <v>41</v>
      </c>
      <c r="B107" s="26"/>
      <c r="C107" s="26"/>
      <c r="D107" s="26"/>
      <c r="E107" s="26"/>
      <c r="F107" s="26"/>
      <c r="G107" s="26"/>
      <c r="H107" s="26"/>
      <c r="I107" s="26"/>
      <c r="J107" s="26"/>
      <c r="K107" s="26"/>
      <c r="L107" s="26"/>
      <c r="M107" s="26"/>
      <c r="N107" s="26"/>
      <c r="O107" s="26"/>
      <c r="P107" s="26"/>
      <c r="Q107" s="27"/>
    </row>
    <row r="108" spans="1:17" hidden="1" x14ac:dyDescent="0.3">
      <c r="A108" s="4" t="s">
        <v>3</v>
      </c>
      <c r="B108" s="1"/>
      <c r="C108" s="1"/>
      <c r="D108" s="1" t="s">
        <v>32</v>
      </c>
      <c r="E108" s="28">
        <f>E60</f>
        <v>0</v>
      </c>
      <c r="F108" s="1"/>
      <c r="G108" s="1"/>
      <c r="K108" s="1"/>
      <c r="P108" s="1"/>
      <c r="Q108" s="29"/>
    </row>
    <row r="109" spans="1:17" hidden="1" x14ac:dyDescent="0.3">
      <c r="A109" s="4" t="s">
        <v>4</v>
      </c>
      <c r="B109" s="1"/>
      <c r="C109" s="1"/>
      <c r="D109" s="1" t="s">
        <v>33</v>
      </c>
      <c r="E109" s="28">
        <f>IF(AND(ISBLANK(I63),I60&gt;0),I60,0)</f>
        <v>0</v>
      </c>
      <c r="F109" s="1" t="str">
        <f>IF(I63&gt;0,"Financing selected","")</f>
        <v/>
      </c>
      <c r="P109" s="1"/>
      <c r="Q109" s="15"/>
    </row>
    <row r="110" spans="1:17" hidden="1" x14ac:dyDescent="0.3">
      <c r="A110" s="4" t="s">
        <v>42</v>
      </c>
      <c r="B110" s="1"/>
      <c r="C110" s="1"/>
      <c r="D110" s="1" t="s">
        <v>34</v>
      </c>
      <c r="E110" s="28">
        <f>M60</f>
        <v>0</v>
      </c>
      <c r="F110" s="1" t="str">
        <f>IF(I64&gt;0,"Financing selected","")</f>
        <v/>
      </c>
      <c r="G110" s="32" t="s">
        <v>43</v>
      </c>
      <c r="P110" s="1"/>
      <c r="Q110" s="15"/>
    </row>
    <row r="111" spans="1:17" ht="15" hidden="1" thickBot="1" x14ac:dyDescent="0.35">
      <c r="A111" s="4" t="s">
        <v>44</v>
      </c>
      <c r="B111" s="1"/>
      <c r="C111" s="1"/>
      <c r="D111" s="1"/>
      <c r="E111" s="30">
        <f>E108+E109+E110</f>
        <v>0</v>
      </c>
      <c r="F111" s="1"/>
      <c r="G111" s="1"/>
      <c r="K111" s="1"/>
      <c r="P111" s="1"/>
      <c r="Q111" s="29"/>
    </row>
    <row r="112" spans="1:17" hidden="1" x14ac:dyDescent="0.3">
      <c r="A112" s="4"/>
      <c r="B112" s="1"/>
      <c r="C112" s="1"/>
      <c r="D112" s="1"/>
      <c r="E112" s="31"/>
      <c r="F112" s="1"/>
      <c r="G112" s="1"/>
      <c r="K112" s="1"/>
      <c r="P112" s="1"/>
      <c r="Q112" s="29"/>
    </row>
    <row r="113" spans="1:17" hidden="1" x14ac:dyDescent="0.3">
      <c r="A113" s="25" t="s">
        <v>6</v>
      </c>
      <c r="B113" s="26"/>
      <c r="C113" s="26"/>
      <c r="D113" s="26"/>
      <c r="E113" s="26"/>
      <c r="F113" s="26"/>
      <c r="G113" s="26"/>
      <c r="H113" s="26"/>
      <c r="I113" s="26"/>
      <c r="J113" s="26"/>
      <c r="K113" s="26"/>
      <c r="L113" s="26"/>
      <c r="M113" s="26"/>
      <c r="N113" s="26"/>
      <c r="O113" s="26"/>
      <c r="P113" s="26"/>
      <c r="Q113" s="27"/>
    </row>
    <row r="114" spans="1:17" hidden="1" x14ac:dyDescent="0.3">
      <c r="A114" s="4" t="s">
        <v>45</v>
      </c>
      <c r="B114" s="1"/>
      <c r="C114" s="1"/>
      <c r="D114" s="1" t="s">
        <v>35</v>
      </c>
      <c r="E114" s="31">
        <f>Q60</f>
        <v>0</v>
      </c>
      <c r="F114" s="1"/>
      <c r="G114" s="1"/>
      <c r="H114" s="1"/>
      <c r="I114" s="1"/>
      <c r="J114" s="1"/>
      <c r="K114" s="1"/>
      <c r="L114" s="1"/>
      <c r="M114" s="1"/>
      <c r="N114" s="1"/>
      <c r="O114" s="1"/>
      <c r="P114" s="1"/>
      <c r="Q114" s="29"/>
    </row>
    <row r="115" spans="1:17" hidden="1" x14ac:dyDescent="0.3">
      <c r="A115" s="4" t="s">
        <v>46</v>
      </c>
      <c r="B115" s="1"/>
      <c r="C115" s="1"/>
      <c r="D115" s="1" t="s">
        <v>39</v>
      </c>
      <c r="E115" s="31">
        <f>I64</f>
        <v>0</v>
      </c>
      <c r="F115" s="1" t="str">
        <f>IF(AND(ISBLANK(I63),I60&gt;0),"Financing not selected"," ")</f>
        <v xml:space="preserve"> </v>
      </c>
      <c r="G115" s="1"/>
      <c r="H115" s="1"/>
      <c r="I115" s="1"/>
      <c r="J115" s="1"/>
      <c r="K115" s="1"/>
      <c r="L115" s="1"/>
      <c r="M115" s="1"/>
      <c r="N115" s="1"/>
      <c r="O115" s="1"/>
      <c r="P115" s="1"/>
      <c r="Q115" s="29"/>
    </row>
    <row r="116" spans="1:17" ht="15" hidden="1" thickBot="1" x14ac:dyDescent="0.35">
      <c r="A116" s="4" t="s">
        <v>47</v>
      </c>
      <c r="B116" s="1"/>
      <c r="C116" s="1"/>
      <c r="D116" s="1"/>
      <c r="E116" s="30">
        <f>+E114+E115</f>
        <v>0</v>
      </c>
      <c r="F116" s="1"/>
      <c r="G116" s="32" t="s">
        <v>48</v>
      </c>
      <c r="H116" s="1"/>
      <c r="I116" s="1"/>
      <c r="J116" s="1"/>
      <c r="K116" s="32"/>
      <c r="L116" s="1"/>
      <c r="M116" s="1"/>
      <c r="N116" s="1"/>
      <c r="O116" s="1"/>
      <c r="P116" s="1"/>
      <c r="Q116" s="29"/>
    </row>
    <row r="117" spans="1:17" hidden="1" x14ac:dyDescent="0.3">
      <c r="A117" s="4"/>
      <c r="B117" s="1"/>
      <c r="C117" s="1"/>
      <c r="D117" s="1"/>
      <c r="E117" s="31"/>
      <c r="F117" s="1"/>
      <c r="G117" s="1"/>
      <c r="H117" s="1"/>
      <c r="I117" s="1"/>
      <c r="J117" s="1"/>
      <c r="K117" s="1"/>
      <c r="L117" s="1"/>
      <c r="M117" s="1"/>
      <c r="N117" s="1"/>
      <c r="O117" s="1"/>
      <c r="P117" s="1"/>
      <c r="Q117" s="29"/>
    </row>
    <row r="118" spans="1:17" hidden="1" x14ac:dyDescent="0.3">
      <c r="A118" s="4" t="str">
        <f>IF(A5="NOC Services","Number of Workstations","Number of Users")</f>
        <v>Number of Users</v>
      </c>
      <c r="B118" s="1"/>
      <c r="C118" s="1"/>
      <c r="D118" s="1"/>
      <c r="E118" s="214">
        <f>IFERROR(VLOOKUP($A$5,Lookups!$B$4:$G$6,6,FALSE),0)</f>
        <v>0</v>
      </c>
      <c r="F118" s="1"/>
      <c r="G118" s="1"/>
      <c r="H118" s="1"/>
      <c r="I118" s="1"/>
      <c r="J118" s="1"/>
      <c r="K118" s="1"/>
      <c r="L118" s="1"/>
      <c r="M118" s="1"/>
      <c r="N118" s="1"/>
      <c r="O118" s="1"/>
      <c r="P118" s="1"/>
      <c r="Q118" s="29"/>
    </row>
    <row r="119" spans="1:17" ht="15" hidden="1" thickBot="1" x14ac:dyDescent="0.35">
      <c r="A119" s="4" t="str">
        <f>IF(A5="NOC Services","Monthly Recurring Price per Workstation","Monthly Recurring Price per User")</f>
        <v>Monthly Recurring Price per User</v>
      </c>
      <c r="B119" s="1"/>
      <c r="C119" s="1"/>
      <c r="D119" s="1"/>
      <c r="E119" s="30">
        <f>IFERROR(E116/E118,0)</f>
        <v>0</v>
      </c>
      <c r="F119" s="1"/>
      <c r="G119" s="1"/>
      <c r="H119" s="1"/>
      <c r="I119" s="1"/>
      <c r="J119" s="1"/>
      <c r="K119" s="1"/>
      <c r="L119" s="1"/>
      <c r="M119" s="1"/>
      <c r="N119" s="1"/>
      <c r="O119" s="1"/>
      <c r="P119" s="1"/>
      <c r="Q119" s="29"/>
    </row>
    <row r="120" spans="1:17" hidden="1" x14ac:dyDescent="0.3">
      <c r="A120" s="4"/>
      <c r="B120" s="1"/>
      <c r="C120" s="1"/>
      <c r="D120" s="1"/>
      <c r="E120" s="31"/>
      <c r="F120" s="1"/>
      <c r="G120" s="1"/>
      <c r="H120" s="1"/>
      <c r="I120" s="1"/>
      <c r="J120" s="1"/>
      <c r="K120" s="1"/>
      <c r="L120" s="1"/>
      <c r="M120" s="1"/>
      <c r="N120" s="1"/>
      <c r="O120" s="1"/>
      <c r="P120" s="1"/>
      <c r="Q120" s="29"/>
    </row>
    <row r="121" spans="1:17" hidden="1" x14ac:dyDescent="0.3">
      <c r="A121" s="4" t="s">
        <v>49</v>
      </c>
      <c r="B121" s="1"/>
      <c r="C121" s="1"/>
      <c r="D121" s="1"/>
      <c r="E121" s="31">
        <f>E116/172</f>
        <v>0</v>
      </c>
      <c r="F121" s="1"/>
      <c r="G121" s="32" t="s">
        <v>50</v>
      </c>
      <c r="H121" s="1"/>
      <c r="I121" s="1"/>
      <c r="J121" s="1"/>
      <c r="K121" s="32"/>
      <c r="L121" s="1"/>
      <c r="M121" s="1"/>
      <c r="N121" s="1"/>
      <c r="O121" s="1"/>
      <c r="P121" s="1"/>
      <c r="Q121" s="29"/>
    </row>
    <row r="122" spans="1:17" hidden="1" x14ac:dyDescent="0.3">
      <c r="A122" s="20" t="s">
        <v>51</v>
      </c>
      <c r="B122" s="21"/>
      <c r="C122" s="21"/>
      <c r="D122" s="21"/>
      <c r="E122" s="34">
        <f>IF((E116-(E111/36))/172&lt;0,0,(E116-(E111/36))/172)</f>
        <v>0</v>
      </c>
      <c r="F122" s="21"/>
      <c r="G122" s="21"/>
      <c r="H122" s="21"/>
      <c r="I122" s="21"/>
      <c r="J122" s="21"/>
      <c r="K122" s="21"/>
      <c r="L122" s="21"/>
      <c r="M122" s="21"/>
      <c r="N122" s="21"/>
      <c r="O122" s="21"/>
      <c r="P122" s="21"/>
      <c r="Q122" s="22"/>
    </row>
    <row r="123" spans="1:17" hidden="1" x14ac:dyDescent="0.3">
      <c r="A123" s="1"/>
      <c r="B123" s="1"/>
      <c r="C123" s="1"/>
      <c r="D123" s="1"/>
      <c r="E123" s="1"/>
      <c r="F123" s="1"/>
    </row>
    <row r="124" spans="1:17" hidden="1" x14ac:dyDescent="0.3">
      <c r="A124" s="35" t="s">
        <v>52</v>
      </c>
    </row>
    <row r="125" spans="1:17" x14ac:dyDescent="0.3"/>
    <row r="126" spans="1:17" x14ac:dyDescent="0.3"/>
    <row r="127" spans="1:17" x14ac:dyDescent="0.3"/>
    <row r="128" spans="1:17" x14ac:dyDescent="0.3"/>
    <row r="129" x14ac:dyDescent="0.3"/>
  </sheetData>
  <sheetProtection algorithmName="SHA-512" hashValue="hmZlhF+Qjz+vPoZ0cVbx1XguysKM966je5WnnrEgMw3G43FrHKBnhgAEvozleUd1FMJTsQXUzTIkaItKkeXjlw==" saltValue="x8+jm+Ul5iUSl1KREWafyg==" spinCount="100000" sheet="1" selectLockedCells="1"/>
  <protectedRanges>
    <protectedRange sqref="I63 I52:I58 A52:A58 O35:O36 E40:E49 I40:I49 E23:E25 G35:G36 C35:C36 A40:A50 Q40:Q49 E52:E58 Q52:Q59 I23:I25 Q23:Q25 M52:M58 M40:M49 K35:K36 M23:M25 Q33 E33 I33 M33 E27:E30 I27:I30 Q27:Q30 M27:M30 E8:E10 I8:I10 Q8:Q10 M8:M10 I12 Q12 M12 M17:M20 E13:E15 I13:I15 Q13:Q15 M13:M15 E17:E20 I17:I20 Q17:Q20 E12" name="inputs"/>
  </protectedRanges>
  <mergeCells count="11">
    <mergeCell ref="C106:E106"/>
    <mergeCell ref="G106:Q106"/>
    <mergeCell ref="C67:E67"/>
    <mergeCell ref="G67:Q67"/>
    <mergeCell ref="A1:Q1"/>
    <mergeCell ref="A4:Q4"/>
    <mergeCell ref="A5:Q5"/>
    <mergeCell ref="C7:E7"/>
    <mergeCell ref="G7:I7"/>
    <mergeCell ref="K7:M7"/>
    <mergeCell ref="O7:Q7"/>
  </mergeCells>
  <conditionalFormatting sqref="A1:Q1">
    <cfRule type="cellIs" dxfId="33" priority="1" operator="equal">
      <formula>0</formula>
    </cfRule>
    <cfRule type="cellIs" dxfId="32" priority="2" operator="greaterThan">
      <formula>0</formula>
    </cfRule>
  </conditionalFormatting>
  <pageMargins left="0.25" right="0.25" top="0.75" bottom="0.75" header="0.3" footer="0.3"/>
  <pageSetup scale="61"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89D83D44-E344-49BD-8BF0-6F3835ED292E}">
          <x14:formula1>
            <xm:f>Lookups!$B$3:$B$6</xm:f>
          </x14:formula1>
          <xm:sqref>A5:Q5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70"/>
  <sheetViews>
    <sheetView showGridLines="0" workbookViewId="0">
      <selection activeCell="A5" sqref="A5:Q5"/>
    </sheetView>
  </sheetViews>
  <sheetFormatPr defaultColWidth="9.44140625" defaultRowHeight="14.4" zeroHeight="1" x14ac:dyDescent="0.3"/>
  <cols>
    <col min="1" max="1" width="46.5546875" customWidth="1"/>
    <col min="2" max="2" width="3" customWidth="1"/>
    <col min="3" max="3" width="11" customWidth="1"/>
    <col min="4" max="4" width="2" customWidth="1"/>
    <col min="5" max="5" width="13" customWidth="1"/>
    <col min="6" max="6" width="2.5546875" customWidth="1"/>
    <col min="7" max="7" width="11" customWidth="1"/>
    <col min="8" max="8" width="2" customWidth="1"/>
    <col min="9" max="9" width="13" customWidth="1"/>
    <col min="10" max="10" width="2.5546875" customWidth="1"/>
    <col min="11" max="11" width="11" customWidth="1"/>
    <col min="12" max="12" width="2" customWidth="1"/>
    <col min="13" max="13" width="13" customWidth="1"/>
    <col min="14" max="14" width="2.5546875" customWidth="1"/>
    <col min="15" max="15" width="11" customWidth="1"/>
    <col min="16" max="16" width="2" customWidth="1"/>
    <col min="17" max="17" width="13.44140625" customWidth="1"/>
    <col min="18" max="18" width="3.44140625" customWidth="1"/>
    <col min="19" max="19" width="42.44140625" customWidth="1"/>
  </cols>
  <sheetData>
    <row r="1" spans="1:18" x14ac:dyDescent="0.3">
      <c r="A1" s="450">
        <f>IF(Lookups!C14&gt;1,"Caution: You currently have services selected in multiple Exhibit B tabs. For clarity, please zero out those you are not ordering from.",0)</f>
        <v>0</v>
      </c>
      <c r="B1" s="450"/>
      <c r="C1" s="450"/>
      <c r="D1" s="450"/>
      <c r="E1" s="450"/>
      <c r="F1" s="450"/>
      <c r="G1" s="450"/>
      <c r="H1" s="450"/>
      <c r="I1" s="450"/>
      <c r="J1" s="450"/>
      <c r="K1" s="450"/>
      <c r="L1" s="450"/>
      <c r="M1" s="450"/>
      <c r="N1" s="450"/>
      <c r="O1" s="450"/>
      <c r="P1" s="450"/>
      <c r="Q1" s="450"/>
    </row>
    <row r="2" spans="1:18" x14ac:dyDescent="0.3">
      <c r="A2" s="1"/>
      <c r="B2" s="1"/>
      <c r="C2" s="1"/>
      <c r="D2" s="1"/>
      <c r="E2" s="1"/>
      <c r="F2" s="1"/>
      <c r="G2" s="1"/>
      <c r="H2" s="1"/>
      <c r="I2" s="1"/>
      <c r="J2" s="1"/>
      <c r="K2" s="1"/>
      <c r="L2" s="1"/>
      <c r="M2" s="1"/>
      <c r="N2" s="1"/>
      <c r="O2" s="1"/>
      <c r="P2" s="1"/>
      <c r="Q2" s="1"/>
    </row>
    <row r="3" spans="1:18" x14ac:dyDescent="0.3">
      <c r="A3" s="1"/>
      <c r="B3" s="1"/>
      <c r="C3" s="1"/>
      <c r="D3" s="1"/>
      <c r="E3" s="1"/>
      <c r="F3" s="1"/>
      <c r="G3" s="1"/>
      <c r="H3" s="1"/>
      <c r="I3" s="1"/>
      <c r="J3" s="1"/>
      <c r="K3" s="1"/>
      <c r="L3" s="1"/>
      <c r="M3" s="1"/>
      <c r="N3" s="1"/>
      <c r="O3" s="1"/>
      <c r="P3" s="1"/>
      <c r="Q3" s="1"/>
    </row>
    <row r="4" spans="1:18" ht="25.8" x14ac:dyDescent="0.5">
      <c r="A4" s="451" t="s">
        <v>0</v>
      </c>
      <c r="B4" s="452"/>
      <c r="C4" s="452"/>
      <c r="D4" s="452"/>
      <c r="E4" s="452"/>
      <c r="F4" s="452"/>
      <c r="G4" s="452"/>
      <c r="H4" s="452"/>
      <c r="I4" s="452"/>
      <c r="J4" s="452"/>
      <c r="K4" s="452"/>
      <c r="L4" s="452"/>
      <c r="M4" s="452"/>
      <c r="N4" s="452"/>
      <c r="O4" s="452"/>
      <c r="P4" s="452"/>
      <c r="Q4" s="453"/>
    </row>
    <row r="5" spans="1:18" ht="25.8" x14ac:dyDescent="0.5">
      <c r="A5" s="454" t="s">
        <v>1</v>
      </c>
      <c r="B5" s="455"/>
      <c r="C5" s="455"/>
      <c r="D5" s="455"/>
      <c r="E5" s="455"/>
      <c r="F5" s="455"/>
      <c r="G5" s="455"/>
      <c r="H5" s="455"/>
      <c r="I5" s="455"/>
      <c r="J5" s="455"/>
      <c r="K5" s="455"/>
      <c r="L5" s="455"/>
      <c r="M5" s="455"/>
      <c r="N5" s="455"/>
      <c r="O5" s="455"/>
      <c r="P5" s="455"/>
      <c r="Q5" s="456"/>
    </row>
    <row r="6" spans="1:18" x14ac:dyDescent="0.3">
      <c r="A6" s="1"/>
      <c r="B6" s="1"/>
      <c r="C6" s="1"/>
      <c r="D6" s="1"/>
      <c r="E6" s="1"/>
      <c r="F6" s="1"/>
      <c r="G6" s="1"/>
      <c r="H6" s="1"/>
      <c r="I6" s="1"/>
      <c r="J6" s="1"/>
      <c r="K6" s="1"/>
      <c r="L6" s="1"/>
      <c r="M6" s="1"/>
      <c r="N6" s="1"/>
      <c r="O6" s="1"/>
      <c r="P6" s="1"/>
      <c r="Q6" s="1"/>
    </row>
    <row r="7" spans="1:18" x14ac:dyDescent="0.3">
      <c r="A7" s="2" t="s">
        <v>2</v>
      </c>
      <c r="B7" s="1"/>
      <c r="C7" s="457" t="s">
        <v>3</v>
      </c>
      <c r="D7" s="448"/>
      <c r="E7" s="449"/>
      <c r="F7" s="1"/>
      <c r="G7" s="457" t="s">
        <v>4</v>
      </c>
      <c r="H7" s="448"/>
      <c r="I7" s="449"/>
      <c r="J7" s="1"/>
      <c r="K7" s="457" t="s">
        <v>5</v>
      </c>
      <c r="L7" s="448"/>
      <c r="M7" s="449"/>
      <c r="N7" s="1"/>
      <c r="O7" s="457" t="s">
        <v>6</v>
      </c>
      <c r="P7" s="448"/>
      <c r="Q7" s="449"/>
    </row>
    <row r="8" spans="1:18" x14ac:dyDescent="0.3">
      <c r="A8" s="3" t="s">
        <v>53</v>
      </c>
      <c r="B8" s="1"/>
      <c r="C8" s="4"/>
      <c r="D8" s="1"/>
      <c r="E8" s="5">
        <f>IFERROR(VLOOKUP($A$5,Lookups!$B$4:$G$6,2,FALSE),0)</f>
        <v>0</v>
      </c>
      <c r="F8" s="1"/>
      <c r="G8" s="4"/>
      <c r="H8" s="1"/>
      <c r="I8" s="5">
        <f>IFERROR(VLOOKUP($A$5,Lookups!$B$4:$G$6,3,FALSE),0)</f>
        <v>0</v>
      </c>
      <c r="J8" s="1"/>
      <c r="K8" s="4"/>
      <c r="L8" s="1"/>
      <c r="M8" s="5">
        <f>IFERROR(VLOOKUP($A$5,Lookups!$B$4:$G$6,4,FALSE),0)</f>
        <v>0</v>
      </c>
      <c r="N8" s="1"/>
      <c r="O8" s="4"/>
      <c r="P8" s="1"/>
      <c r="Q8" s="5">
        <f>IFERROR(VLOOKUP($A$5,Lookups!$B$4:$G$6,5,FALSE),0)</f>
        <v>0</v>
      </c>
      <c r="R8" s="1"/>
    </row>
    <row r="9" spans="1:18" x14ac:dyDescent="0.3">
      <c r="A9" s="3" t="s">
        <v>8</v>
      </c>
      <c r="B9" s="1"/>
      <c r="C9" s="4"/>
      <c r="D9" s="1"/>
      <c r="E9" s="6"/>
      <c r="F9" s="1"/>
      <c r="G9" s="4"/>
      <c r="H9" s="1"/>
      <c r="I9" s="6"/>
      <c r="J9" s="1"/>
      <c r="K9" s="4"/>
      <c r="L9" s="1"/>
      <c r="M9" s="6"/>
      <c r="N9" s="1"/>
      <c r="O9" s="4"/>
      <c r="P9" s="1"/>
      <c r="Q9" s="6"/>
      <c r="R9" s="1"/>
    </row>
    <row r="10" spans="1:18" x14ac:dyDescent="0.3">
      <c r="A10" s="3" t="s">
        <v>9</v>
      </c>
      <c r="B10" s="1"/>
      <c r="C10" s="4"/>
      <c r="D10" s="1"/>
      <c r="E10" s="7"/>
      <c r="F10" s="1"/>
      <c r="G10" s="4"/>
      <c r="H10" s="1"/>
      <c r="I10" s="7"/>
      <c r="J10" s="1"/>
      <c r="K10" s="4"/>
      <c r="L10" s="1"/>
      <c r="M10" s="7"/>
      <c r="N10" s="1"/>
      <c r="O10" s="4"/>
      <c r="P10" s="1"/>
      <c r="Q10" s="7"/>
      <c r="R10" s="1"/>
    </row>
    <row r="11" spans="1:18" ht="15" thickBot="1" x14ac:dyDescent="0.35">
      <c r="A11" s="3" t="s">
        <v>10</v>
      </c>
      <c r="B11" s="1"/>
      <c r="C11" s="4"/>
      <c r="D11" s="1"/>
      <c r="E11" s="8">
        <f>(E8+E9)/(1-E10)</f>
        <v>0</v>
      </c>
      <c r="F11" s="1"/>
      <c r="G11" s="4"/>
      <c r="H11" s="1"/>
      <c r="I11" s="8">
        <f>(I8+I9)/(1-I10)</f>
        <v>0</v>
      </c>
      <c r="J11" s="1"/>
      <c r="K11" s="4"/>
      <c r="L11" s="1"/>
      <c r="M11" s="8">
        <f>(M8+M9)/(1-M10)</f>
        <v>0</v>
      </c>
      <c r="N11" s="1"/>
      <c r="O11" s="4"/>
      <c r="P11" s="1"/>
      <c r="Q11" s="8">
        <f>ROUNDUP((Q8+Q9)/(1-Q10),2)</f>
        <v>0</v>
      </c>
      <c r="R11" s="1"/>
    </row>
    <row r="12" spans="1:18" ht="15" thickTop="1" x14ac:dyDescent="0.3">
      <c r="A12" s="3"/>
      <c r="B12" s="1"/>
      <c r="C12" s="4"/>
      <c r="D12" s="1"/>
      <c r="E12" s="5"/>
      <c r="F12" s="1"/>
      <c r="G12" s="4"/>
      <c r="H12" s="1"/>
      <c r="I12" s="5"/>
      <c r="J12" s="1"/>
      <c r="K12" s="4"/>
      <c r="L12" s="1"/>
      <c r="M12" s="5"/>
      <c r="N12" s="1"/>
      <c r="O12" s="4"/>
      <c r="P12" s="1"/>
      <c r="Q12" s="5"/>
      <c r="R12" s="1"/>
    </row>
    <row r="13" spans="1:18" x14ac:dyDescent="0.3">
      <c r="A13" s="9" t="s">
        <v>15</v>
      </c>
      <c r="B13" s="1"/>
      <c r="C13" s="4"/>
      <c r="D13" s="1"/>
      <c r="E13" s="5"/>
      <c r="F13" s="1"/>
      <c r="G13" s="4"/>
      <c r="H13" s="1"/>
      <c r="I13" s="5"/>
      <c r="J13" s="1"/>
      <c r="K13" s="4"/>
      <c r="L13" s="1"/>
      <c r="M13" s="5"/>
      <c r="N13" s="1"/>
      <c r="O13" s="4"/>
      <c r="P13" s="1"/>
      <c r="Q13" s="5"/>
      <c r="R13" s="1"/>
    </row>
    <row r="14" spans="1:18" x14ac:dyDescent="0.3">
      <c r="A14" s="10" t="s">
        <v>16</v>
      </c>
      <c r="B14" s="1"/>
      <c r="C14" s="4"/>
      <c r="D14" s="1"/>
      <c r="E14" s="11"/>
      <c r="F14" s="1"/>
      <c r="G14" s="4"/>
      <c r="H14" s="1"/>
      <c r="I14" s="11"/>
      <c r="J14" s="1"/>
      <c r="K14" s="4"/>
      <c r="L14" s="1"/>
      <c r="M14" s="11"/>
      <c r="N14" s="1"/>
      <c r="O14" s="4"/>
      <c r="P14" s="1"/>
      <c r="Q14" s="11"/>
      <c r="R14" s="1"/>
    </row>
    <row r="15" spans="1:18" x14ac:dyDescent="0.3">
      <c r="A15" s="3" t="s">
        <v>17</v>
      </c>
      <c r="B15" s="1"/>
      <c r="C15" s="12"/>
      <c r="D15" s="1"/>
      <c r="E15" s="11"/>
      <c r="F15" s="1"/>
      <c r="G15" s="12"/>
      <c r="H15" s="1"/>
      <c r="I15" s="11"/>
      <c r="J15" s="1"/>
      <c r="K15" s="12"/>
      <c r="L15" s="1"/>
      <c r="M15" s="11"/>
      <c r="N15" s="1"/>
      <c r="O15" s="12"/>
      <c r="P15" s="1"/>
      <c r="Q15" s="11"/>
      <c r="R15" s="1"/>
    </row>
    <row r="16" spans="1:18" x14ac:dyDescent="0.3">
      <c r="A16" s="3" t="s">
        <v>18</v>
      </c>
      <c r="B16" s="1"/>
      <c r="C16" s="13"/>
      <c r="D16" s="1"/>
      <c r="E16" s="11"/>
      <c r="F16" s="1"/>
      <c r="G16" s="13"/>
      <c r="H16" s="1"/>
      <c r="I16" s="11"/>
      <c r="J16" s="1"/>
      <c r="K16" s="13"/>
      <c r="L16" s="1"/>
      <c r="M16" s="11"/>
      <c r="N16" s="1"/>
      <c r="O16" s="13"/>
      <c r="P16" s="1"/>
      <c r="Q16" s="11"/>
      <c r="R16" s="1"/>
    </row>
    <row r="17" spans="1:18" x14ac:dyDescent="0.3">
      <c r="A17" s="3" t="s">
        <v>16</v>
      </c>
      <c r="B17" s="1"/>
      <c r="C17" s="14">
        <f>C15*C16</f>
        <v>0</v>
      </c>
      <c r="D17" s="1"/>
      <c r="E17" s="15">
        <f>C17</f>
        <v>0</v>
      </c>
      <c r="F17" s="1"/>
      <c r="G17" s="14">
        <f>G15*G16</f>
        <v>0</v>
      </c>
      <c r="H17" s="1"/>
      <c r="I17" s="15">
        <f>G17</f>
        <v>0</v>
      </c>
      <c r="J17" s="1"/>
      <c r="K17" s="14">
        <f>K15*K16</f>
        <v>0</v>
      </c>
      <c r="L17" s="1"/>
      <c r="M17" s="15">
        <f>K17</f>
        <v>0</v>
      </c>
      <c r="N17" s="1"/>
      <c r="O17" s="14">
        <f>O15*O16</f>
        <v>0</v>
      </c>
      <c r="P17" s="1"/>
      <c r="Q17" s="15">
        <f>O17</f>
        <v>0</v>
      </c>
      <c r="R17" s="1"/>
    </row>
    <row r="18" spans="1:18" x14ac:dyDescent="0.3">
      <c r="A18" s="3"/>
      <c r="B18" s="1"/>
      <c r="C18" s="16"/>
      <c r="D18" s="1"/>
      <c r="E18" s="15"/>
      <c r="F18" s="1"/>
      <c r="G18" s="16"/>
      <c r="H18" s="1"/>
      <c r="I18" s="15"/>
      <c r="J18" s="1"/>
      <c r="K18" s="16"/>
      <c r="L18" s="1"/>
      <c r="M18" s="15"/>
      <c r="N18" s="1"/>
      <c r="O18" s="16"/>
      <c r="P18" s="1"/>
      <c r="Q18" s="15"/>
      <c r="R18" s="1"/>
    </row>
    <row r="19" spans="1:18" x14ac:dyDescent="0.3">
      <c r="A19" s="10" t="s">
        <v>19</v>
      </c>
      <c r="B19" s="1"/>
      <c r="C19" s="16"/>
      <c r="D19" s="1"/>
      <c r="E19" s="15"/>
      <c r="F19" s="1"/>
      <c r="G19" s="16"/>
      <c r="H19" s="1"/>
      <c r="I19" s="15"/>
      <c r="J19" s="1"/>
      <c r="K19" s="16"/>
      <c r="L19" s="1"/>
      <c r="M19" s="15"/>
      <c r="N19" s="1"/>
      <c r="O19" s="16"/>
      <c r="P19" s="1"/>
      <c r="Q19" s="15"/>
      <c r="R19" s="1"/>
    </row>
    <row r="20" spans="1:18" x14ac:dyDescent="0.3">
      <c r="A20" s="17" t="s">
        <v>20</v>
      </c>
      <c r="B20" s="1"/>
      <c r="C20" s="16"/>
      <c r="D20" s="1"/>
      <c r="E20" s="6"/>
      <c r="F20" s="1"/>
      <c r="G20" s="16"/>
      <c r="H20" s="1"/>
      <c r="I20" s="6"/>
      <c r="J20" s="1"/>
      <c r="K20" s="16"/>
      <c r="L20" s="1"/>
      <c r="M20" s="6"/>
      <c r="N20" s="1"/>
      <c r="O20" s="16"/>
      <c r="P20" s="1"/>
      <c r="Q20" s="6"/>
      <c r="R20" s="1"/>
    </row>
    <row r="21" spans="1:18" x14ac:dyDescent="0.3">
      <c r="A21" s="17" t="s">
        <v>21</v>
      </c>
      <c r="B21" s="1"/>
      <c r="C21" s="16"/>
      <c r="D21" s="1"/>
      <c r="E21" s="6"/>
      <c r="F21" s="1"/>
      <c r="G21" s="16"/>
      <c r="H21" s="1"/>
      <c r="I21" s="6"/>
      <c r="J21" s="1"/>
      <c r="K21" s="16"/>
      <c r="L21" s="1"/>
      <c r="M21" s="6"/>
      <c r="N21" s="1"/>
      <c r="O21" s="16"/>
      <c r="P21" s="1"/>
      <c r="Q21" s="6"/>
      <c r="R21" s="1"/>
    </row>
    <row r="22" spans="1:18" x14ac:dyDescent="0.3">
      <c r="A22" s="17" t="s">
        <v>22</v>
      </c>
      <c r="B22" s="1"/>
      <c r="C22" s="16"/>
      <c r="D22" s="1"/>
      <c r="E22" s="6"/>
      <c r="F22" s="1"/>
      <c r="G22" s="16"/>
      <c r="H22" s="1"/>
      <c r="I22" s="6"/>
      <c r="J22" s="1"/>
      <c r="K22" s="16"/>
      <c r="L22" s="1"/>
      <c r="M22" s="6"/>
      <c r="N22" s="1"/>
      <c r="O22" s="16"/>
      <c r="P22" s="1"/>
      <c r="Q22" s="6"/>
      <c r="R22" s="1"/>
    </row>
    <row r="23" spans="1:18" x14ac:dyDescent="0.3">
      <c r="A23" s="17" t="s">
        <v>23</v>
      </c>
      <c r="B23" s="1"/>
      <c r="C23" s="16"/>
      <c r="D23" s="1"/>
      <c r="E23" s="6"/>
      <c r="F23" s="1"/>
      <c r="G23" s="16"/>
      <c r="H23" s="1"/>
      <c r="I23" s="6"/>
      <c r="J23" s="1"/>
      <c r="K23" s="16"/>
      <c r="L23" s="1"/>
      <c r="M23" s="6"/>
      <c r="N23" s="1"/>
      <c r="O23" s="16"/>
      <c r="P23" s="1"/>
      <c r="Q23" s="6"/>
      <c r="R23" s="1"/>
    </row>
    <row r="24" spans="1:18" x14ac:dyDescent="0.3">
      <c r="A24" s="17" t="s">
        <v>24</v>
      </c>
      <c r="B24" s="1"/>
      <c r="C24" s="16"/>
      <c r="D24" s="1"/>
      <c r="E24" s="6"/>
      <c r="F24" s="1"/>
      <c r="G24" s="16"/>
      <c r="H24" s="1"/>
      <c r="I24" s="6"/>
      <c r="J24" s="1"/>
      <c r="K24" s="16"/>
      <c r="L24" s="1"/>
      <c r="M24" s="6"/>
      <c r="N24" s="1"/>
      <c r="O24" s="16"/>
      <c r="P24" s="1"/>
      <c r="Q24" s="6"/>
      <c r="R24" s="1"/>
    </row>
    <row r="25" spans="1:18" x14ac:dyDescent="0.3">
      <c r="A25" s="17" t="s">
        <v>25</v>
      </c>
      <c r="B25" s="1"/>
      <c r="C25" s="16"/>
      <c r="D25" s="1"/>
      <c r="E25" s="6"/>
      <c r="F25" s="1"/>
      <c r="G25" s="16"/>
      <c r="H25" s="1"/>
      <c r="I25" s="6"/>
      <c r="J25" s="1"/>
      <c r="K25" s="16"/>
      <c r="L25" s="1"/>
      <c r="M25" s="6"/>
      <c r="N25" s="1"/>
      <c r="O25" s="16"/>
      <c r="P25" s="1"/>
      <c r="Q25" s="6"/>
      <c r="R25" s="1"/>
    </row>
    <row r="26" spans="1:18" x14ac:dyDescent="0.3">
      <c r="A26" s="17" t="s">
        <v>26</v>
      </c>
      <c r="B26" s="1"/>
      <c r="C26" s="16"/>
      <c r="D26" s="1"/>
      <c r="E26" s="6"/>
      <c r="F26" s="1"/>
      <c r="G26" s="16"/>
      <c r="H26" s="1"/>
      <c r="I26" s="6"/>
      <c r="J26" s="1"/>
      <c r="K26" s="16"/>
      <c r="L26" s="1"/>
      <c r="M26" s="6"/>
      <c r="N26" s="1"/>
      <c r="O26" s="16"/>
      <c r="P26" s="1"/>
      <c r="Q26" s="6"/>
      <c r="R26" s="1"/>
    </row>
    <row r="27" spans="1:18" x14ac:dyDescent="0.3">
      <c r="A27" s="17" t="s">
        <v>27</v>
      </c>
      <c r="B27" s="1"/>
      <c r="C27" s="16"/>
      <c r="D27" s="1"/>
      <c r="E27" s="6"/>
      <c r="F27" s="1"/>
      <c r="G27" s="16"/>
      <c r="H27" s="1"/>
      <c r="I27" s="6"/>
      <c r="J27" s="1"/>
      <c r="K27" s="16"/>
      <c r="L27" s="1"/>
      <c r="M27" s="6"/>
      <c r="N27" s="1"/>
      <c r="O27" s="16"/>
      <c r="P27" s="1"/>
      <c r="Q27" s="6"/>
      <c r="R27" s="1"/>
    </row>
    <row r="28" spans="1:18" x14ac:dyDescent="0.3">
      <c r="A28" s="17" t="s">
        <v>28</v>
      </c>
      <c r="B28" s="1"/>
      <c r="C28" s="16"/>
      <c r="D28" s="1"/>
      <c r="E28" s="6"/>
      <c r="F28" s="1"/>
      <c r="G28" s="16"/>
      <c r="H28" s="1"/>
      <c r="I28" s="6"/>
      <c r="J28" s="1"/>
      <c r="K28" s="16"/>
      <c r="L28" s="1"/>
      <c r="M28" s="6"/>
      <c r="N28" s="1"/>
      <c r="O28" s="16"/>
      <c r="P28" s="1"/>
      <c r="Q28" s="6"/>
      <c r="R28" s="1"/>
    </row>
    <row r="29" spans="1:18" x14ac:dyDescent="0.3">
      <c r="A29" s="17" t="s">
        <v>29</v>
      </c>
      <c r="B29" s="1"/>
      <c r="C29" s="16"/>
      <c r="D29" s="1"/>
      <c r="E29" s="6"/>
      <c r="F29" s="1"/>
      <c r="G29" s="16"/>
      <c r="H29" s="1"/>
      <c r="I29" s="6"/>
      <c r="J29" s="1"/>
      <c r="K29" s="16"/>
      <c r="L29" s="1"/>
      <c r="M29" s="6"/>
      <c r="N29" s="1"/>
      <c r="O29" s="16"/>
      <c r="P29" s="1"/>
      <c r="Q29" s="6"/>
      <c r="R29" s="1"/>
    </row>
    <row r="30" spans="1:18" x14ac:dyDescent="0.3">
      <c r="A30" s="3"/>
      <c r="B30" s="1"/>
      <c r="C30" s="16"/>
      <c r="D30" s="1"/>
      <c r="E30" s="15"/>
      <c r="F30" s="1"/>
      <c r="G30" s="16"/>
      <c r="H30" s="1"/>
      <c r="I30" s="15"/>
      <c r="J30" s="1"/>
      <c r="K30" s="16"/>
      <c r="L30" s="1"/>
      <c r="M30" s="15"/>
      <c r="N30" s="1"/>
      <c r="O30" s="16"/>
      <c r="P30" s="1"/>
      <c r="Q30" s="15"/>
      <c r="R30" s="1"/>
    </row>
    <row r="31" spans="1:18" x14ac:dyDescent="0.3">
      <c r="A31" s="10" t="s">
        <v>30</v>
      </c>
      <c r="B31" s="1"/>
      <c r="C31" s="16"/>
      <c r="D31" s="1"/>
      <c r="E31" s="15"/>
      <c r="F31" s="1"/>
      <c r="G31" s="16"/>
      <c r="H31" s="1"/>
      <c r="I31" s="15"/>
      <c r="J31" s="1"/>
      <c r="K31" s="16"/>
      <c r="L31" s="1"/>
      <c r="M31" s="15"/>
      <c r="N31" s="1"/>
      <c r="O31" s="16"/>
      <c r="P31" s="1"/>
      <c r="Q31" s="15"/>
      <c r="R31" s="1"/>
    </row>
    <row r="32" spans="1:18" x14ac:dyDescent="0.3">
      <c r="A32" s="17" t="s">
        <v>20</v>
      </c>
      <c r="B32" s="1"/>
      <c r="C32" s="16"/>
      <c r="D32" s="1"/>
      <c r="E32" s="6"/>
      <c r="F32" s="1"/>
      <c r="G32" s="16"/>
      <c r="H32" s="1"/>
      <c r="I32" s="6"/>
      <c r="J32" s="1"/>
      <c r="K32" s="16"/>
      <c r="L32" s="1"/>
      <c r="M32" s="6"/>
      <c r="N32" s="1"/>
      <c r="O32" s="16"/>
      <c r="P32" s="1"/>
      <c r="Q32" s="6"/>
      <c r="R32" s="1"/>
    </row>
    <row r="33" spans="1:28" x14ac:dyDescent="0.3">
      <c r="A33" s="17" t="s">
        <v>21</v>
      </c>
      <c r="B33" s="1"/>
      <c r="C33" s="16"/>
      <c r="D33" s="1"/>
      <c r="E33" s="6"/>
      <c r="F33" s="1"/>
      <c r="G33" s="16"/>
      <c r="H33" s="1"/>
      <c r="I33" s="6"/>
      <c r="J33" s="1"/>
      <c r="K33" s="16"/>
      <c r="L33" s="1"/>
      <c r="M33" s="6"/>
      <c r="N33" s="1"/>
      <c r="O33" s="16"/>
      <c r="P33" s="1"/>
      <c r="Q33" s="6"/>
      <c r="R33" s="1"/>
    </row>
    <row r="34" spans="1:28" x14ac:dyDescent="0.3">
      <c r="A34" s="17" t="s">
        <v>22</v>
      </c>
      <c r="B34" s="1"/>
      <c r="C34" s="16"/>
      <c r="D34" s="1"/>
      <c r="E34" s="6"/>
      <c r="F34" s="1"/>
      <c r="G34" s="16"/>
      <c r="H34" s="1"/>
      <c r="I34" s="6"/>
      <c r="J34" s="1"/>
      <c r="K34" s="16"/>
      <c r="L34" s="1"/>
      <c r="M34" s="6"/>
      <c r="N34" s="1"/>
      <c r="O34" s="16"/>
      <c r="P34" s="1"/>
      <c r="Q34" s="6"/>
      <c r="R34" s="1"/>
    </row>
    <row r="35" spans="1:28" x14ac:dyDescent="0.3">
      <c r="A35" s="17" t="s">
        <v>23</v>
      </c>
      <c r="B35" s="1"/>
      <c r="C35" s="16"/>
      <c r="D35" s="1"/>
      <c r="E35" s="6"/>
      <c r="F35" s="1"/>
      <c r="G35" s="16"/>
      <c r="H35" s="1"/>
      <c r="I35" s="6"/>
      <c r="J35" s="1"/>
      <c r="K35" s="16"/>
      <c r="L35" s="1"/>
      <c r="M35" s="6"/>
      <c r="N35" s="1"/>
      <c r="O35" s="16"/>
      <c r="P35" s="1"/>
      <c r="Q35" s="6"/>
      <c r="R35" s="1"/>
    </row>
    <row r="36" spans="1:28" x14ac:dyDescent="0.3">
      <c r="A36" s="17" t="s">
        <v>24</v>
      </c>
      <c r="B36" s="1"/>
      <c r="C36" s="16"/>
      <c r="D36" s="1"/>
      <c r="E36" s="6"/>
      <c r="F36" s="1"/>
      <c r="G36" s="16"/>
      <c r="H36" s="1"/>
      <c r="I36" s="6"/>
      <c r="J36" s="1"/>
      <c r="K36" s="16"/>
      <c r="L36" s="1"/>
      <c r="M36" s="6"/>
      <c r="N36" s="1"/>
      <c r="O36" s="16"/>
      <c r="P36" s="1"/>
      <c r="Q36" s="6"/>
      <c r="R36" s="1"/>
    </row>
    <row r="37" spans="1:28" x14ac:dyDescent="0.3">
      <c r="A37" s="17" t="s">
        <v>25</v>
      </c>
      <c r="B37" s="1"/>
      <c r="C37" s="16"/>
      <c r="D37" s="1"/>
      <c r="E37" s="6"/>
      <c r="F37" s="1"/>
      <c r="G37" s="16"/>
      <c r="H37" s="1"/>
      <c r="I37" s="6"/>
      <c r="J37" s="1"/>
      <c r="K37" s="16"/>
      <c r="L37" s="1"/>
      <c r="M37" s="6"/>
      <c r="N37" s="1"/>
      <c r="O37" s="16"/>
      <c r="P37" s="1"/>
      <c r="Q37" s="6"/>
      <c r="R37" s="1"/>
    </row>
    <row r="38" spans="1:28" x14ac:dyDescent="0.3">
      <c r="A38" s="17" t="s">
        <v>26</v>
      </c>
      <c r="B38" s="1"/>
      <c r="C38" s="16"/>
      <c r="D38" s="1"/>
      <c r="E38" s="6"/>
      <c r="F38" s="1"/>
      <c r="G38" s="16"/>
      <c r="H38" s="1"/>
      <c r="I38" s="6"/>
      <c r="J38" s="1"/>
      <c r="K38" s="16"/>
      <c r="L38" s="1"/>
      <c r="M38" s="6"/>
      <c r="N38" s="1"/>
      <c r="O38" s="16"/>
      <c r="P38" s="1"/>
      <c r="Q38" s="6"/>
      <c r="R38" s="1"/>
    </row>
    <row r="39" spans="1:28" x14ac:dyDescent="0.3">
      <c r="A39" s="3"/>
      <c r="B39" s="1"/>
      <c r="C39" s="4"/>
      <c r="D39" s="1"/>
      <c r="E39" s="11"/>
      <c r="F39" s="1"/>
      <c r="G39" s="4"/>
      <c r="H39" s="1"/>
      <c r="I39" s="11"/>
      <c r="J39" s="1"/>
      <c r="K39" s="4"/>
      <c r="L39" s="1"/>
      <c r="M39" s="11"/>
      <c r="N39" s="1"/>
      <c r="O39" s="4"/>
      <c r="P39" s="1"/>
      <c r="Q39" s="15"/>
      <c r="R39" s="1"/>
    </row>
    <row r="40" spans="1:28" ht="15" thickBot="1" x14ac:dyDescent="0.35">
      <c r="A40" s="3" t="s">
        <v>31</v>
      </c>
      <c r="B40" s="1"/>
      <c r="C40" s="4"/>
      <c r="D40" s="1" t="s">
        <v>32</v>
      </c>
      <c r="E40" s="8">
        <f>SUM(E11:E39)</f>
        <v>0</v>
      </c>
      <c r="F40" s="1"/>
      <c r="G40" s="4"/>
      <c r="H40" s="1" t="s">
        <v>33</v>
      </c>
      <c r="I40" s="8">
        <f>SUM(I11:I39)</f>
        <v>0</v>
      </c>
      <c r="J40" s="1"/>
      <c r="K40" s="4"/>
      <c r="L40" s="1" t="s">
        <v>34</v>
      </c>
      <c r="M40" s="8">
        <f>SUM(M11:M39)</f>
        <v>0</v>
      </c>
      <c r="N40" s="1"/>
      <c r="O40" s="4"/>
      <c r="P40" s="1" t="s">
        <v>35</v>
      </c>
      <c r="Q40" s="8">
        <f>SUM(Q11:Q39)</f>
        <v>0</v>
      </c>
      <c r="R40" s="1"/>
    </row>
    <row r="41" spans="1:28" ht="15" thickTop="1" x14ac:dyDescent="0.3">
      <c r="A41" s="3"/>
      <c r="B41" s="1"/>
      <c r="C41" s="4"/>
      <c r="D41" s="1"/>
      <c r="E41" s="15"/>
      <c r="F41" s="1"/>
      <c r="G41" s="4"/>
      <c r="H41" s="1"/>
      <c r="I41" s="15"/>
      <c r="J41" s="1"/>
      <c r="K41" s="4"/>
      <c r="L41" s="1"/>
      <c r="M41" s="15"/>
      <c r="N41" s="1"/>
      <c r="O41" s="4"/>
      <c r="P41" s="1"/>
      <c r="Q41" s="15"/>
      <c r="R41" s="1"/>
    </row>
    <row r="42" spans="1:28" x14ac:dyDescent="0.3">
      <c r="A42" s="10" t="s">
        <v>36</v>
      </c>
      <c r="B42" s="1"/>
      <c r="C42" s="4"/>
      <c r="D42" s="1"/>
      <c r="E42" s="15"/>
      <c r="F42" s="1"/>
      <c r="G42" s="4"/>
      <c r="H42" s="1"/>
      <c r="I42" s="15"/>
      <c r="J42" s="1"/>
      <c r="K42" s="4"/>
      <c r="L42" s="1"/>
      <c r="M42" s="15"/>
      <c r="N42" s="1"/>
      <c r="O42" s="4"/>
      <c r="P42" s="1"/>
      <c r="Q42" s="15"/>
      <c r="R42" s="1"/>
    </row>
    <row r="43" spans="1:28" x14ac:dyDescent="0.3">
      <c r="A43" s="3" t="s">
        <v>37</v>
      </c>
      <c r="B43" s="1"/>
      <c r="C43" s="4"/>
      <c r="D43" s="1"/>
      <c r="E43" s="15"/>
      <c r="F43" s="1"/>
      <c r="G43" s="4"/>
      <c r="H43" s="1"/>
      <c r="I43" s="18"/>
      <c r="J43" s="1"/>
      <c r="K43" s="4"/>
      <c r="L43" s="1"/>
      <c r="M43" s="15"/>
      <c r="N43" s="1"/>
      <c r="O43" s="4"/>
      <c r="P43" s="1"/>
      <c r="Q43" s="15"/>
      <c r="R43" s="1"/>
    </row>
    <row r="44" spans="1:28" ht="15" thickBot="1" x14ac:dyDescent="0.35">
      <c r="A44" s="3" t="s">
        <v>38</v>
      </c>
      <c r="B44" s="1"/>
      <c r="C44" s="4"/>
      <c r="D44" s="1"/>
      <c r="E44" s="15"/>
      <c r="F44" s="1"/>
      <c r="G44" s="4"/>
      <c r="H44" s="1" t="s">
        <v>39</v>
      </c>
      <c r="I44" s="8">
        <f>+I40*I43</f>
        <v>0</v>
      </c>
      <c r="J44" s="1"/>
      <c r="K44" s="4"/>
      <c r="L44" s="1"/>
      <c r="M44" s="15"/>
      <c r="N44" s="1"/>
      <c r="O44" s="4"/>
      <c r="P44" s="1"/>
      <c r="Q44" s="15"/>
      <c r="R44" s="1"/>
    </row>
    <row r="45" spans="1:28" ht="15" thickTop="1" x14ac:dyDescent="0.3">
      <c r="A45" s="19"/>
      <c r="B45" s="1"/>
      <c r="C45" s="20"/>
      <c r="D45" s="21"/>
      <c r="E45" s="22"/>
      <c r="F45" s="1"/>
      <c r="G45" s="20"/>
      <c r="H45" s="21"/>
      <c r="I45" s="22"/>
      <c r="J45" s="1"/>
      <c r="K45" s="20"/>
      <c r="L45" s="21"/>
      <c r="M45" s="22"/>
      <c r="N45" s="1"/>
      <c r="O45" s="20"/>
      <c r="P45" s="21"/>
      <c r="Q45" s="22"/>
      <c r="R45" s="1"/>
    </row>
    <row r="46" spans="1:28" x14ac:dyDescent="0.3">
      <c r="A46" s="1"/>
      <c r="B46" s="1"/>
      <c r="C46" s="1"/>
      <c r="D46" s="1"/>
      <c r="E46" s="1"/>
      <c r="F46" s="1"/>
      <c r="G46" s="1"/>
      <c r="H46" s="1"/>
      <c r="I46" s="1"/>
      <c r="J46" s="1"/>
      <c r="K46" s="1"/>
      <c r="L46" s="1"/>
      <c r="M46" s="1"/>
      <c r="N46" s="1"/>
      <c r="O46" s="1"/>
      <c r="P46" s="1"/>
      <c r="Q46" s="1"/>
      <c r="R46" s="1"/>
    </row>
    <row r="47" spans="1:28" x14ac:dyDescent="0.3">
      <c r="A47" s="23" t="s">
        <v>40</v>
      </c>
      <c r="B47" s="24"/>
      <c r="C47" s="448"/>
      <c r="D47" s="448"/>
      <c r="E47" s="448"/>
      <c r="F47" s="24"/>
      <c r="G47" s="448"/>
      <c r="H47" s="448"/>
      <c r="I47" s="448"/>
      <c r="J47" s="448"/>
      <c r="K47" s="448"/>
      <c r="L47" s="448"/>
      <c r="M47" s="448"/>
      <c r="N47" s="448"/>
      <c r="O47" s="448"/>
      <c r="P47" s="448"/>
      <c r="Q47" s="449"/>
      <c r="R47" s="1"/>
      <c r="S47" s="1"/>
      <c r="T47" s="1"/>
      <c r="AB47" s="1"/>
    </row>
    <row r="48" spans="1:28" x14ac:dyDescent="0.3">
      <c r="A48" s="25" t="s">
        <v>41</v>
      </c>
      <c r="B48" s="26"/>
      <c r="C48" s="26"/>
      <c r="D48" s="26"/>
      <c r="E48" s="26"/>
      <c r="F48" s="26"/>
      <c r="G48" s="26"/>
      <c r="H48" s="26"/>
      <c r="I48" s="26"/>
      <c r="J48" s="26"/>
      <c r="K48" s="26"/>
      <c r="L48" s="26"/>
      <c r="M48" s="26"/>
      <c r="N48" s="26"/>
      <c r="O48" s="26"/>
      <c r="P48" s="26"/>
      <c r="Q48" s="27"/>
      <c r="R48" s="1"/>
      <c r="S48" s="1"/>
      <c r="T48" s="1"/>
      <c r="AB48" s="1"/>
    </row>
    <row r="49" spans="1:28" x14ac:dyDescent="0.3">
      <c r="A49" s="4" t="s">
        <v>3</v>
      </c>
      <c r="B49" s="1"/>
      <c r="C49" s="1"/>
      <c r="D49" s="1" t="s">
        <v>32</v>
      </c>
      <c r="E49" s="28">
        <f>E40</f>
        <v>0</v>
      </c>
      <c r="F49" s="1"/>
      <c r="G49" s="1"/>
      <c r="K49" s="1"/>
      <c r="P49" s="1"/>
      <c r="Q49" s="29"/>
    </row>
    <row r="50" spans="1:28" x14ac:dyDescent="0.3">
      <c r="A50" s="4" t="s">
        <v>4</v>
      </c>
      <c r="B50" s="1"/>
      <c r="C50" s="1"/>
      <c r="D50" s="1" t="s">
        <v>33</v>
      </c>
      <c r="E50" s="28">
        <f>IF(AND(ISBLANK(I43),I40&gt;0),I40,0)</f>
        <v>0</v>
      </c>
      <c r="F50" s="1" t="str">
        <f>IF(I43&gt;0,"Financing selected","")</f>
        <v/>
      </c>
      <c r="P50" s="1"/>
      <c r="Q50" s="15"/>
    </row>
    <row r="51" spans="1:28" x14ac:dyDescent="0.3">
      <c r="A51" s="4" t="s">
        <v>42</v>
      </c>
      <c r="B51" s="1"/>
      <c r="C51" s="1"/>
      <c r="D51" s="1" t="s">
        <v>34</v>
      </c>
      <c r="E51" s="28">
        <f>M40</f>
        <v>0</v>
      </c>
      <c r="F51" s="1" t="str">
        <f>IF(I44&gt;0,"Financing selected","")</f>
        <v/>
      </c>
      <c r="G51" s="32" t="s">
        <v>43</v>
      </c>
      <c r="P51" s="1"/>
      <c r="Q51" s="15"/>
    </row>
    <row r="52" spans="1:28" ht="15" thickBot="1" x14ac:dyDescent="0.35">
      <c r="A52" s="4" t="s">
        <v>44</v>
      </c>
      <c r="B52" s="1"/>
      <c r="C52" s="1"/>
      <c r="D52" s="1"/>
      <c r="E52" s="30">
        <f>E49+E50+E51</f>
        <v>0</v>
      </c>
      <c r="F52" s="1"/>
      <c r="G52" s="1"/>
      <c r="K52" s="1"/>
      <c r="P52" s="1"/>
      <c r="Q52" s="29"/>
    </row>
    <row r="53" spans="1:28" ht="15" thickTop="1" x14ac:dyDescent="0.3">
      <c r="A53" s="4"/>
      <c r="B53" s="1"/>
      <c r="C53" s="1"/>
      <c r="D53" s="1"/>
      <c r="E53" s="31"/>
      <c r="F53" s="1"/>
      <c r="G53" s="1"/>
      <c r="K53" s="1"/>
      <c r="P53" s="1"/>
      <c r="Q53" s="29"/>
    </row>
    <row r="54" spans="1:28" x14ac:dyDescent="0.3">
      <c r="A54" s="25" t="s">
        <v>6</v>
      </c>
      <c r="B54" s="26"/>
      <c r="C54" s="26"/>
      <c r="D54" s="26"/>
      <c r="E54" s="26"/>
      <c r="F54" s="26"/>
      <c r="G54" s="26"/>
      <c r="H54" s="26"/>
      <c r="I54" s="26"/>
      <c r="J54" s="26"/>
      <c r="K54" s="26"/>
      <c r="L54" s="26"/>
      <c r="M54" s="26"/>
      <c r="N54" s="26"/>
      <c r="O54" s="26"/>
      <c r="P54" s="26"/>
      <c r="Q54" s="27"/>
      <c r="R54" s="1"/>
      <c r="S54" s="1"/>
      <c r="T54" s="1"/>
      <c r="AB54" s="1"/>
    </row>
    <row r="55" spans="1:28" x14ac:dyDescent="0.3">
      <c r="A55" s="4" t="s">
        <v>45</v>
      </c>
      <c r="B55" s="1"/>
      <c r="C55" s="1"/>
      <c r="D55" s="1" t="s">
        <v>35</v>
      </c>
      <c r="E55" s="31">
        <f>Q40</f>
        <v>0</v>
      </c>
      <c r="F55" s="1"/>
      <c r="G55" s="1"/>
      <c r="H55" s="1"/>
      <c r="I55" s="1"/>
      <c r="J55" s="1"/>
      <c r="K55" s="1"/>
      <c r="L55" s="1"/>
      <c r="M55" s="1"/>
      <c r="N55" s="1"/>
      <c r="O55" s="1"/>
      <c r="P55" s="1"/>
      <c r="Q55" s="29"/>
      <c r="R55" s="1"/>
      <c r="S55" s="1"/>
      <c r="T55" s="1"/>
      <c r="AB55" s="1"/>
    </row>
    <row r="56" spans="1:28" x14ac:dyDescent="0.3">
      <c r="A56" s="4" t="s">
        <v>46</v>
      </c>
      <c r="B56" s="1"/>
      <c r="C56" s="1"/>
      <c r="D56" s="1" t="s">
        <v>39</v>
      </c>
      <c r="E56" s="31">
        <f>I44</f>
        <v>0</v>
      </c>
      <c r="F56" s="1" t="str">
        <f>IF(AND(ISBLANK(I43),I40&gt;0),"Financing not selected"," ")</f>
        <v xml:space="preserve"> </v>
      </c>
      <c r="G56" s="1"/>
      <c r="H56" s="1"/>
      <c r="I56" s="1"/>
      <c r="J56" s="1"/>
      <c r="K56" s="1"/>
      <c r="L56" s="1"/>
      <c r="M56" s="1"/>
      <c r="N56" s="1"/>
      <c r="O56" s="1"/>
      <c r="P56" s="1"/>
      <c r="Q56" s="29"/>
      <c r="R56" s="1"/>
      <c r="S56" s="1"/>
      <c r="T56" s="1"/>
      <c r="AB56" s="1"/>
    </row>
    <row r="57" spans="1:28" ht="15" thickBot="1" x14ac:dyDescent="0.35">
      <c r="A57" s="4" t="s">
        <v>47</v>
      </c>
      <c r="B57" s="1"/>
      <c r="C57" s="1"/>
      <c r="D57" s="1"/>
      <c r="E57" s="30">
        <f>+E55+E56</f>
        <v>0</v>
      </c>
      <c r="F57" s="1"/>
      <c r="G57" s="32" t="s">
        <v>48</v>
      </c>
      <c r="H57" s="1"/>
      <c r="I57" s="1"/>
      <c r="J57" s="1"/>
      <c r="K57" s="32"/>
      <c r="L57" s="1"/>
      <c r="M57" s="1"/>
      <c r="N57" s="1"/>
      <c r="O57" s="1"/>
      <c r="P57" s="1"/>
      <c r="Q57" s="29"/>
      <c r="R57" s="1"/>
      <c r="S57" s="1"/>
      <c r="T57" s="1"/>
      <c r="AB57" s="1"/>
    </row>
    <row r="58" spans="1:28" ht="15" thickTop="1" x14ac:dyDescent="0.3">
      <c r="A58" s="4"/>
      <c r="B58" s="1"/>
      <c r="C58" s="1"/>
      <c r="D58" s="1"/>
      <c r="E58" s="31"/>
      <c r="F58" s="1"/>
      <c r="G58" s="1"/>
      <c r="H58" s="1"/>
      <c r="I58" s="1"/>
      <c r="J58" s="1"/>
      <c r="K58" s="1"/>
      <c r="L58" s="1"/>
      <c r="M58" s="1"/>
      <c r="N58" s="1"/>
      <c r="O58" s="1"/>
      <c r="P58" s="1"/>
      <c r="Q58" s="29"/>
      <c r="R58" s="1"/>
      <c r="S58" s="1"/>
      <c r="T58" s="1"/>
      <c r="AB58" s="1"/>
    </row>
    <row r="59" spans="1:28" x14ac:dyDescent="0.3">
      <c r="A59" s="4" t="str">
        <f>IF(A5="NOC Services","Number of Workstations","Number of Users")</f>
        <v>Number of Users</v>
      </c>
      <c r="B59" s="1"/>
      <c r="C59" s="1"/>
      <c r="D59" s="1"/>
      <c r="E59" s="214">
        <f>IFERROR(VLOOKUP($A$5,Lookups!$B$4:$G$6,6,FALSE),0)</f>
        <v>0</v>
      </c>
      <c r="F59" s="1"/>
      <c r="G59" s="1"/>
      <c r="H59" s="1"/>
      <c r="I59" s="1"/>
      <c r="J59" s="1"/>
      <c r="K59" s="1"/>
      <c r="L59" s="1"/>
      <c r="M59" s="1"/>
      <c r="N59" s="1"/>
      <c r="O59" s="1"/>
      <c r="P59" s="1"/>
      <c r="Q59" s="29"/>
      <c r="R59" s="1"/>
      <c r="S59" s="1"/>
      <c r="T59" s="33"/>
      <c r="AB59" s="1"/>
    </row>
    <row r="60" spans="1:28" ht="15" thickBot="1" x14ac:dyDescent="0.35">
      <c r="A60" s="4" t="str">
        <f>IF(A5="NOC Services","Monthly Recurring Price per Workstation","Monthly Recurring Price per User")</f>
        <v>Monthly Recurring Price per User</v>
      </c>
      <c r="B60" s="1"/>
      <c r="C60" s="1"/>
      <c r="D60" s="1"/>
      <c r="E60" s="30">
        <f>IFERROR(E57/E59,0)</f>
        <v>0</v>
      </c>
      <c r="F60" s="1"/>
      <c r="G60" s="1"/>
      <c r="H60" s="1"/>
      <c r="I60" s="1"/>
      <c r="J60" s="1"/>
      <c r="K60" s="1"/>
      <c r="L60" s="1"/>
      <c r="M60" s="1"/>
      <c r="N60" s="1"/>
      <c r="O60" s="1"/>
      <c r="P60" s="1"/>
      <c r="Q60" s="29"/>
      <c r="R60" s="1"/>
      <c r="S60" s="1"/>
      <c r="T60" s="1"/>
      <c r="AB60" s="1"/>
    </row>
    <row r="61" spans="1:28" ht="15" thickTop="1" x14ac:dyDescent="0.3">
      <c r="A61" s="4"/>
      <c r="B61" s="1"/>
      <c r="C61" s="1"/>
      <c r="D61" s="1"/>
      <c r="E61" s="31"/>
      <c r="F61" s="1"/>
      <c r="G61" s="1"/>
      <c r="H61" s="1"/>
      <c r="I61" s="1"/>
      <c r="J61" s="1"/>
      <c r="K61" s="1"/>
      <c r="L61" s="1"/>
      <c r="M61" s="1"/>
      <c r="N61" s="1"/>
      <c r="O61" s="1"/>
      <c r="P61" s="1"/>
      <c r="Q61" s="29"/>
      <c r="R61" s="1"/>
      <c r="S61" s="1"/>
      <c r="T61" s="1"/>
      <c r="AB61" s="1"/>
    </row>
    <row r="62" spans="1:28" x14ac:dyDescent="0.3">
      <c r="A62" s="4" t="s">
        <v>49</v>
      </c>
      <c r="B62" s="1"/>
      <c r="C62" s="1"/>
      <c r="D62" s="1"/>
      <c r="E62" s="31">
        <f>E57/172</f>
        <v>0</v>
      </c>
      <c r="F62" s="1"/>
      <c r="G62" s="32" t="s">
        <v>50</v>
      </c>
      <c r="H62" s="1"/>
      <c r="I62" s="1"/>
      <c r="J62" s="1"/>
      <c r="K62" s="32"/>
      <c r="L62" s="1"/>
      <c r="M62" s="1"/>
      <c r="N62" s="1"/>
      <c r="O62" s="1"/>
      <c r="P62" s="1"/>
      <c r="Q62" s="29"/>
      <c r="R62" s="1"/>
      <c r="S62" s="1"/>
      <c r="T62" s="1"/>
      <c r="AB62" s="1"/>
    </row>
    <row r="63" spans="1:28" x14ac:dyDescent="0.3">
      <c r="A63" s="20" t="s">
        <v>51</v>
      </c>
      <c r="B63" s="21"/>
      <c r="C63" s="21"/>
      <c r="D63" s="21"/>
      <c r="E63" s="34">
        <f>IF((E57-(E52/36))/172&lt;0,0,(E57-(E52/36))/172)</f>
        <v>0</v>
      </c>
      <c r="F63" s="21"/>
      <c r="G63" s="21"/>
      <c r="H63" s="21"/>
      <c r="I63" s="21"/>
      <c r="J63" s="21"/>
      <c r="K63" s="21"/>
      <c r="L63" s="21"/>
      <c r="M63" s="21"/>
      <c r="N63" s="21"/>
      <c r="O63" s="21"/>
      <c r="P63" s="21"/>
      <c r="Q63" s="22"/>
      <c r="R63" s="1"/>
      <c r="S63" s="1"/>
      <c r="T63" s="1"/>
      <c r="AB63" s="1"/>
    </row>
    <row r="64" spans="1:28" x14ac:dyDescent="0.3">
      <c r="A64" s="1"/>
      <c r="B64" s="1"/>
      <c r="C64" s="1"/>
      <c r="D64" s="1"/>
      <c r="E64" s="1"/>
      <c r="F64" s="1"/>
      <c r="R64" s="1"/>
    </row>
    <row r="65" spans="1:1" x14ac:dyDescent="0.3">
      <c r="A65" s="35" t="s">
        <v>52</v>
      </c>
    </row>
    <row r="66" spans="1:1" x14ac:dyDescent="0.3"/>
    <row r="67" spans="1:1" x14ac:dyDescent="0.3"/>
    <row r="68" spans="1:1" x14ac:dyDescent="0.3"/>
    <row r="69" spans="1:1" x14ac:dyDescent="0.3"/>
    <row r="70" spans="1:1" x14ac:dyDescent="0.3"/>
  </sheetData>
  <sheetProtection algorithmName="SHA-512" hashValue="Dh4Cq0omZW8sKEYCdx+IznMqk0TVNlSzHLjTXEOc0EFCpS+mbx6i/E8kqxViDisCGbnZy6B9gG8lkE3Lw6LyDQ==" saltValue="ZfLcP/JjPLwv5ovTK4CmFg==" spinCount="100000" sheet="1" selectLockedCells="1"/>
  <protectedRanges>
    <protectedRange sqref="Q12:Q13 I43 I32:I38 A32:A38 E12:E13 I12:I13 O15:O16 E20:E29 I20:I29 E8:E10 G15:G16 C15:C16 A20:A30 Q20:Q29 E32:E38 Q32:Q39 I8:I10 Q8:Q10 M32:M38 M12:M13 M20:M29 K15:K16 M8:M10" name="inputs"/>
  </protectedRanges>
  <mergeCells count="9">
    <mergeCell ref="C47:E47"/>
    <mergeCell ref="G47:Q47"/>
    <mergeCell ref="A5:Q5"/>
    <mergeCell ref="A1:Q1"/>
    <mergeCell ref="A4:Q4"/>
    <mergeCell ref="C7:E7"/>
    <mergeCell ref="G7:I7"/>
    <mergeCell ref="O7:Q7"/>
    <mergeCell ref="K7:M7"/>
  </mergeCells>
  <conditionalFormatting sqref="A1:Q1">
    <cfRule type="cellIs" dxfId="31" priority="1" operator="equal">
      <formula>0</formula>
    </cfRule>
    <cfRule type="cellIs" dxfId="30" priority="2" operator="greaterThan">
      <formula>0</formula>
    </cfRule>
  </conditionalFormatting>
  <pageMargins left="0.25" right="0.25" top="0.75" bottom="0.75" header="0.3" footer="0.3"/>
  <pageSetup scale="61"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Lookups!$B$3:$B$6</xm:f>
          </x14:formula1>
          <xm:sqref>A5:Q5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G968"/>
  <sheetViews>
    <sheetView showGridLines="0" zoomScale="80" zoomScaleNormal="80" zoomScaleSheetLayoutView="80" workbookViewId="0">
      <pane ySplit="12" topLeftCell="A13" activePane="bottomLeft" state="frozen"/>
      <selection activeCell="A11" sqref="A11:A61"/>
      <selection pane="bottomLeft" activeCell="B22" sqref="B22"/>
    </sheetView>
  </sheetViews>
  <sheetFormatPr defaultColWidth="17.5546875" defaultRowHeight="14.4" x14ac:dyDescent="0.3"/>
  <cols>
    <col min="1" max="1" width="2.33203125" style="258" bestFit="1" customWidth="1"/>
    <col min="2" max="2" width="26.5546875" style="38" customWidth="1"/>
    <col min="3" max="3" width="22.5546875" style="38" customWidth="1"/>
    <col min="4" max="4" width="18" customWidth="1"/>
    <col min="5" max="5" width="40.5546875" customWidth="1"/>
    <col min="6" max="6" width="42.5546875" customWidth="1"/>
    <col min="7" max="7" width="15.5546875" customWidth="1"/>
    <col min="8" max="11" width="20.5546875" customWidth="1"/>
    <col min="12" max="12" width="3.5546875" style="39" customWidth="1"/>
    <col min="13" max="13" width="12.6640625" style="39" bestFit="1" customWidth="1"/>
    <col min="14" max="14" width="15" style="39" customWidth="1"/>
    <col min="15" max="15" width="15" customWidth="1"/>
    <col min="16" max="16" width="15.5546875" style="39" customWidth="1"/>
    <col min="17" max="17" width="2.5546875" customWidth="1"/>
    <col min="18" max="18" width="18.5546875" customWidth="1"/>
  </cols>
  <sheetData>
    <row r="1" spans="1:31" ht="15.9" customHeight="1" x14ac:dyDescent="0.3">
      <c r="A1" s="261"/>
      <c r="B1" s="260" t="s">
        <v>54</v>
      </c>
      <c r="C1" s="36"/>
      <c r="E1" s="273"/>
      <c r="F1" s="272" t="s">
        <v>55</v>
      </c>
      <c r="G1" s="273"/>
      <c r="H1" s="273"/>
      <c r="J1" s="450">
        <f>IF((Lookups!C12+Lookups!C13)&gt;0,"Caution: You also have services selected in other Exhibit B tab(s)",0)</f>
        <v>0</v>
      </c>
      <c r="K1" s="450"/>
      <c r="L1" s="450"/>
      <c r="M1" s="450"/>
      <c r="N1" s="450"/>
      <c r="O1" s="450"/>
      <c r="P1" s="450"/>
    </row>
    <row r="2" spans="1:31" ht="15.9" customHeight="1" x14ac:dyDescent="0.3">
      <c r="A2" s="261"/>
      <c r="B2" s="234" t="s">
        <v>56</v>
      </c>
      <c r="C2" s="36"/>
      <c r="E2" s="273"/>
      <c r="F2" s="272" t="s">
        <v>57</v>
      </c>
      <c r="G2" s="273"/>
      <c r="H2" s="273"/>
      <c r="J2" s="468">
        <f>IF(J1=0,0,"Please zero those out if you're submitting a NOC Services order")</f>
        <v>0</v>
      </c>
      <c r="K2" s="468"/>
      <c r="L2" s="468"/>
      <c r="M2" s="468"/>
      <c r="N2" s="468"/>
      <c r="O2" s="468"/>
      <c r="P2" s="468"/>
    </row>
    <row r="3" spans="1:31" ht="15.9" customHeight="1" x14ac:dyDescent="0.5">
      <c r="A3" s="261"/>
      <c r="B3" s="234" t="s">
        <v>58</v>
      </c>
      <c r="C3" s="36"/>
      <c r="E3" s="273"/>
      <c r="F3" s="272" t="s">
        <v>59</v>
      </c>
      <c r="G3" s="273"/>
      <c r="H3" s="273"/>
      <c r="I3" s="139"/>
      <c r="J3" s="1"/>
      <c r="K3" s="1"/>
      <c r="L3" s="37"/>
      <c r="M3" s="37"/>
      <c r="N3" s="37"/>
      <c r="O3" s="37"/>
      <c r="P3" s="37"/>
    </row>
    <row r="4" spans="1:31" ht="15.9" customHeight="1" x14ac:dyDescent="0.35">
      <c r="A4" s="261"/>
      <c r="B4" s="234" t="s">
        <v>60</v>
      </c>
      <c r="E4" s="205" t="s">
        <v>61</v>
      </c>
      <c r="F4" s="41"/>
      <c r="G4" s="42"/>
      <c r="L4"/>
      <c r="M4"/>
      <c r="N4"/>
      <c r="P4"/>
    </row>
    <row r="5" spans="1:31" ht="15.9" customHeight="1" x14ac:dyDescent="0.35">
      <c r="A5" s="261"/>
      <c r="B5" s="234" t="s">
        <v>62</v>
      </c>
      <c r="C5" s="235"/>
      <c r="E5" s="205" t="s">
        <v>63</v>
      </c>
      <c r="F5" s="41"/>
      <c r="G5" s="42"/>
      <c r="J5" s="116"/>
      <c r="L5"/>
      <c r="M5"/>
      <c r="N5"/>
      <c r="P5"/>
    </row>
    <row r="6" spans="1:31" ht="15.9" customHeight="1" x14ac:dyDescent="0.35">
      <c r="A6" s="261"/>
      <c r="B6" s="234" t="s">
        <v>64</v>
      </c>
      <c r="C6"/>
      <c r="D6" s="173"/>
      <c r="E6" s="205" t="s">
        <v>65</v>
      </c>
      <c r="F6" s="41"/>
      <c r="G6" s="42"/>
      <c r="H6" s="42"/>
      <c r="I6" s="42"/>
      <c r="J6" s="42"/>
      <c r="K6" s="42"/>
      <c r="L6"/>
      <c r="M6"/>
      <c r="N6"/>
      <c r="P6"/>
    </row>
    <row r="7" spans="1:31" ht="15.9" customHeight="1" thickBot="1" x14ac:dyDescent="0.4">
      <c r="A7" s="261"/>
      <c r="B7" s="257" t="s">
        <v>66</v>
      </c>
      <c r="C7"/>
      <c r="D7" s="173"/>
      <c r="E7" s="205" t="s">
        <v>67</v>
      </c>
      <c r="F7" s="41"/>
      <c r="G7" s="42"/>
      <c r="H7" s="42"/>
      <c r="I7" s="42"/>
      <c r="J7" s="42"/>
      <c r="K7" s="42"/>
      <c r="L7"/>
      <c r="M7"/>
      <c r="N7"/>
      <c r="P7"/>
    </row>
    <row r="8" spans="1:31" ht="15.9" customHeight="1" x14ac:dyDescent="0.35">
      <c r="A8" s="1"/>
      <c r="C8"/>
      <c r="D8" s="173"/>
      <c r="E8" s="205" t="s">
        <v>68</v>
      </c>
      <c r="F8" s="43"/>
      <c r="G8" s="42"/>
      <c r="H8" s="42"/>
      <c r="I8" s="42"/>
      <c r="J8" s="42"/>
      <c r="K8" s="42"/>
      <c r="L8"/>
      <c r="M8"/>
      <c r="N8"/>
      <c r="P8"/>
    </row>
    <row r="9" spans="1:31" ht="15.9" customHeight="1" x14ac:dyDescent="0.35">
      <c r="A9" s="1"/>
      <c r="C9"/>
      <c r="D9" s="173"/>
      <c r="E9" s="205" t="s">
        <v>69</v>
      </c>
      <c r="F9" s="43"/>
      <c r="G9" s="42"/>
      <c r="H9" s="42"/>
      <c r="I9" s="42"/>
      <c r="J9" s="42"/>
      <c r="K9" s="42"/>
      <c r="L9"/>
      <c r="M9"/>
      <c r="N9"/>
      <c r="P9"/>
    </row>
    <row r="10" spans="1:31" ht="15.9" customHeight="1" x14ac:dyDescent="0.35">
      <c r="A10" s="1"/>
      <c r="B10"/>
      <c r="C10"/>
      <c r="D10" s="173"/>
      <c r="E10" s="205" t="s">
        <v>70</v>
      </c>
      <c r="F10" s="43"/>
      <c r="G10" s="212" t="str">
        <f>IFERROR(VLOOKUP(F10,Lookups!$B$40:$C$42,2,FALSE),"")</f>
        <v/>
      </c>
      <c r="H10" s="42"/>
      <c r="I10" s="42"/>
      <c r="J10" s="42"/>
      <c r="K10" s="42"/>
      <c r="L10"/>
      <c r="M10"/>
      <c r="N10"/>
      <c r="O10" s="38"/>
      <c r="P10" s="335" t="s">
        <v>71</v>
      </c>
    </row>
    <row r="11" spans="1:31" ht="15.9" customHeight="1" x14ac:dyDescent="0.35">
      <c r="A11" s="1"/>
      <c r="B11"/>
      <c r="C11"/>
      <c r="D11" s="173"/>
      <c r="E11" s="205" t="s">
        <v>72</v>
      </c>
      <c r="F11" s="41"/>
      <c r="G11" s="212"/>
      <c r="H11" s="42"/>
      <c r="I11" s="42"/>
      <c r="J11" s="42"/>
      <c r="K11" s="42"/>
      <c r="L11"/>
      <c r="M11"/>
      <c r="N11"/>
      <c r="O11" s="38"/>
      <c r="P11" s="335"/>
    </row>
    <row r="12" spans="1:31" ht="15" customHeight="1" x14ac:dyDescent="0.3">
      <c r="A12" s="1"/>
      <c r="B12" s="160" t="s">
        <v>73</v>
      </c>
      <c r="C12" s="44"/>
      <c r="D12" s="1"/>
      <c r="E12" s="382"/>
      <c r="F12" s="45"/>
      <c r="G12" s="40"/>
      <c r="H12" s="1"/>
      <c r="I12" s="1"/>
      <c r="J12" s="1"/>
      <c r="K12" s="1"/>
      <c r="L12" s="46"/>
      <c r="M12" s="279" t="s">
        <v>74</v>
      </c>
      <c r="N12" s="299" t="s">
        <v>75</v>
      </c>
      <c r="O12" s="299" t="s">
        <v>76</v>
      </c>
      <c r="P12" s="299" t="s">
        <v>77</v>
      </c>
    </row>
    <row r="13" spans="1:31" ht="15" customHeight="1" x14ac:dyDescent="0.3">
      <c r="A13"/>
      <c r="B13" s="203"/>
      <c r="C13" s="204"/>
      <c r="D13" s="157" t="s">
        <v>78</v>
      </c>
      <c r="E13" s="47"/>
      <c r="F13" s="47"/>
      <c r="G13" s="47"/>
      <c r="H13" s="48"/>
      <c r="I13" s="48"/>
      <c r="J13" s="49"/>
      <c r="K13" s="49"/>
      <c r="L13" s="170"/>
      <c r="M13" s="280">
        <f>SUM(M14:M21)</f>
        <v>0</v>
      </c>
      <c r="N13" s="300">
        <f>SUM(N14:N21)</f>
        <v>0</v>
      </c>
      <c r="O13" s="300">
        <f>SUM(O14:O21)</f>
        <v>0</v>
      </c>
      <c r="P13" s="300">
        <f>SUM(P14:P21)</f>
        <v>0</v>
      </c>
    </row>
    <row r="14" spans="1:31" ht="15" customHeight="1" x14ac:dyDescent="0.3">
      <c r="A14"/>
      <c r="B14" s="162"/>
      <c r="C14" s="162"/>
      <c r="D14" s="159"/>
      <c r="E14" s="159" t="s">
        <v>79</v>
      </c>
      <c r="F14" s="110"/>
      <c r="G14" s="110"/>
      <c r="H14" s="111"/>
      <c r="I14" s="177"/>
      <c r="J14" s="112"/>
      <c r="K14" s="112"/>
      <c r="L14" s="171"/>
      <c r="M14" s="281"/>
      <c r="N14" s="301"/>
      <c r="O14" s="301"/>
      <c r="P14" s="301"/>
    </row>
    <row r="15" spans="1:31" x14ac:dyDescent="0.3">
      <c r="A15"/>
      <c r="B15" s="52">
        <v>0</v>
      </c>
      <c r="C15" s="53" t="s">
        <v>80</v>
      </c>
      <c r="D15" s="1"/>
      <c r="E15" s="54" t="s">
        <v>81</v>
      </c>
      <c r="F15" s="71"/>
      <c r="G15" s="394" t="s">
        <v>82</v>
      </c>
      <c r="H15" s="438">
        <v>11</v>
      </c>
      <c r="I15" s="77" t="s">
        <v>83</v>
      </c>
      <c r="J15" s="140"/>
      <c r="K15" s="140"/>
      <c r="L15" s="37"/>
      <c r="M15" s="282"/>
      <c r="N15" s="302"/>
      <c r="O15" s="302"/>
      <c r="P15" s="302">
        <f>H15*B15</f>
        <v>0</v>
      </c>
      <c r="AD15" s="57"/>
      <c r="AE15" s="57"/>
    </row>
    <row r="16" spans="1:31" x14ac:dyDescent="0.3">
      <c r="A16"/>
      <c r="B16" s="38">
        <f>IF(F10=Lookups!B41,0,B15)</f>
        <v>0</v>
      </c>
      <c r="C16" s="53" t="s">
        <v>80</v>
      </c>
      <c r="D16" s="1"/>
      <c r="E16" s="54" t="s">
        <v>84</v>
      </c>
      <c r="F16" s="107"/>
      <c r="G16" s="87" t="s">
        <v>85</v>
      </c>
      <c r="H16" s="72">
        <v>15.75</v>
      </c>
      <c r="I16" s="77" t="s">
        <v>86</v>
      </c>
      <c r="J16" s="102"/>
      <c r="K16" s="102"/>
      <c r="L16" s="105"/>
      <c r="M16" s="282">
        <f>+H16*B16</f>
        <v>0</v>
      </c>
      <c r="N16" s="302"/>
      <c r="O16" s="302"/>
      <c r="P16" s="302"/>
    </row>
    <row r="17" spans="1:33" x14ac:dyDescent="0.3">
      <c r="A17"/>
      <c r="B17" s="36"/>
      <c r="C17" s="36"/>
      <c r="D17" s="1"/>
      <c r="E17" s="447"/>
      <c r="F17" s="45"/>
      <c r="G17" s="45"/>
      <c r="H17" s="58"/>
      <c r="I17" s="50"/>
      <c r="J17" s="1"/>
      <c r="K17" s="1"/>
      <c r="L17" s="37"/>
      <c r="M17" s="282"/>
      <c r="N17" s="302"/>
      <c r="O17" s="316"/>
      <c r="P17" s="316"/>
      <c r="AD17" s="57"/>
      <c r="AE17" s="57"/>
    </row>
    <row r="18" spans="1:33" ht="15" customHeight="1" x14ac:dyDescent="0.3">
      <c r="A18"/>
      <c r="B18" s="162"/>
      <c r="C18" s="162"/>
      <c r="D18" s="159"/>
      <c r="E18" s="159" t="s">
        <v>87</v>
      </c>
      <c r="F18" s="110"/>
      <c r="G18" s="110"/>
      <c r="H18" s="111"/>
      <c r="I18" s="177"/>
      <c r="J18" s="112"/>
      <c r="K18" s="112"/>
      <c r="L18" s="171"/>
      <c r="M18" s="281"/>
      <c r="N18" s="301"/>
      <c r="O18" s="301"/>
      <c r="P18" s="301"/>
    </row>
    <row r="19" spans="1:33" x14ac:dyDescent="0.3">
      <c r="A19"/>
      <c r="B19" s="52">
        <v>0</v>
      </c>
      <c r="C19" s="53" t="s">
        <v>88</v>
      </c>
      <c r="D19" s="1"/>
      <c r="E19" s="54" t="s">
        <v>89</v>
      </c>
      <c r="F19" s="71"/>
      <c r="G19" s="394" t="s">
        <v>90</v>
      </c>
      <c r="H19" s="438">
        <v>55</v>
      </c>
      <c r="I19" s="77" t="s">
        <v>83</v>
      </c>
      <c r="J19" s="1"/>
      <c r="K19" s="1"/>
      <c r="L19" s="37"/>
      <c r="M19" s="282"/>
      <c r="N19" s="302"/>
      <c r="O19" s="302"/>
      <c r="P19" s="302">
        <f>+H19*B19</f>
        <v>0</v>
      </c>
      <c r="AD19" s="57"/>
      <c r="AE19" s="57"/>
    </row>
    <row r="20" spans="1:33" x14ac:dyDescent="0.3">
      <c r="A20"/>
      <c r="B20" s="36"/>
      <c r="C20" s="36"/>
      <c r="D20" s="1"/>
      <c r="E20" s="60"/>
      <c r="F20" s="45"/>
      <c r="G20" s="45"/>
      <c r="H20" s="58"/>
      <c r="I20" s="58"/>
      <c r="J20" s="1"/>
      <c r="K20" s="1"/>
      <c r="L20" s="37"/>
      <c r="M20" s="282"/>
      <c r="N20" s="302"/>
      <c r="O20" s="316"/>
      <c r="P20" s="316"/>
      <c r="AD20" s="57"/>
      <c r="AE20" s="57"/>
    </row>
    <row r="21" spans="1:33" ht="15" customHeight="1" x14ac:dyDescent="0.3">
      <c r="A21"/>
      <c r="C21" s="36"/>
      <c r="D21" s="1"/>
      <c r="E21" s="215" t="s">
        <v>91</v>
      </c>
      <c r="F21" s="122"/>
      <c r="H21" s="1"/>
      <c r="I21" s="1"/>
      <c r="J21" s="1"/>
      <c r="K21" s="1"/>
      <c r="L21" s="37"/>
      <c r="M21" s="282"/>
      <c r="N21" s="302"/>
      <c r="O21" s="302"/>
      <c r="P21" s="302"/>
    </row>
    <row r="22" spans="1:33" ht="15" customHeight="1" x14ac:dyDescent="0.3">
      <c r="A22"/>
      <c r="B22" s="393"/>
      <c r="D22" s="36"/>
      <c r="E22" s="1"/>
      <c r="F22" s="1"/>
      <c r="G22" s="122"/>
      <c r="I22" s="1"/>
      <c r="J22" s="74"/>
      <c r="K22" s="1"/>
      <c r="L22" s="1"/>
      <c r="M22" s="284"/>
      <c r="N22" s="284"/>
      <c r="O22" s="304"/>
      <c r="P22" s="304"/>
    </row>
    <row r="23" spans="1:33" ht="15.6" x14ac:dyDescent="0.3">
      <c r="A23" s="458"/>
      <c r="B23" s="255"/>
      <c r="C23" s="204"/>
      <c r="D23" s="157" t="s">
        <v>92</v>
      </c>
      <c r="E23" s="47"/>
      <c r="F23" s="47"/>
      <c r="G23" s="47"/>
      <c r="H23" s="48" t="s">
        <v>83</v>
      </c>
      <c r="I23" s="48" t="s">
        <v>83</v>
      </c>
      <c r="J23" s="48" t="s">
        <v>83</v>
      </c>
      <c r="K23" s="48" t="s">
        <v>93</v>
      </c>
      <c r="L23" s="170"/>
      <c r="M23" s="280">
        <f>SUM(M24:M54)</f>
        <v>0</v>
      </c>
      <c r="N23" s="300">
        <f>SUM(N24:N54)</f>
        <v>0</v>
      </c>
      <c r="O23" s="300">
        <f>SUM(O24:O54)</f>
        <v>0</v>
      </c>
      <c r="P23" s="300">
        <f>SUM(P24:P54)</f>
        <v>0</v>
      </c>
      <c r="AD23" s="57"/>
      <c r="AE23" s="57"/>
    </row>
    <row r="24" spans="1:33" ht="15" customHeight="1" x14ac:dyDescent="0.3">
      <c r="A24" s="458"/>
      <c r="B24" s="162"/>
      <c r="C24" s="162"/>
      <c r="D24" s="159"/>
      <c r="E24" s="159" t="s">
        <v>94</v>
      </c>
      <c r="F24" s="110"/>
      <c r="G24" s="110"/>
      <c r="H24" s="111"/>
      <c r="I24" s="177"/>
      <c r="J24" s="177"/>
      <c r="K24" s="112"/>
      <c r="L24" s="171"/>
      <c r="M24" s="281"/>
      <c r="N24" s="301"/>
      <c r="O24" s="301"/>
      <c r="P24" s="301"/>
    </row>
    <row r="25" spans="1:33" x14ac:dyDescent="0.3">
      <c r="A25" s="458"/>
      <c r="B25" s="161" t="s">
        <v>95</v>
      </c>
      <c r="C25" s="65" t="s">
        <v>96</v>
      </c>
      <c r="D25" s="161" t="s">
        <v>97</v>
      </c>
      <c r="E25" s="367" t="s">
        <v>98</v>
      </c>
      <c r="F25" s="67"/>
      <c r="G25" s="153"/>
      <c r="H25" s="68" t="s">
        <v>99</v>
      </c>
      <c r="I25" s="68" t="s">
        <v>100</v>
      </c>
      <c r="J25" s="68" t="s">
        <v>101</v>
      </c>
      <c r="K25" s="68" t="s">
        <v>97</v>
      </c>
      <c r="L25" s="439"/>
      <c r="M25" s="282"/>
      <c r="N25" s="302"/>
      <c r="O25" s="302"/>
      <c r="P25" s="303"/>
      <c r="AF25" s="57"/>
      <c r="AG25" s="57"/>
    </row>
    <row r="26" spans="1:33" x14ac:dyDescent="0.3">
      <c r="A26" s="458"/>
      <c r="B26" s="52">
        <v>0</v>
      </c>
      <c r="C26" s="70" t="s">
        <v>99</v>
      </c>
      <c r="D26" s="52" t="s">
        <v>102</v>
      </c>
      <c r="E26" s="368" t="s">
        <v>103</v>
      </c>
      <c r="F26" s="118"/>
      <c r="G26" s="71" t="str">
        <f>IF(C26=Lookups!$B$51,"DPR-2900",IF(C26=Lookups!$B$52,"DPR-2901","DPR-2902"))</f>
        <v>DPR-2900</v>
      </c>
      <c r="H26" s="72">
        <v>123</v>
      </c>
      <c r="I26" s="72">
        <v>149</v>
      </c>
      <c r="J26" s="72">
        <v>159</v>
      </c>
      <c r="K26" s="72">
        <v>84</v>
      </c>
      <c r="L26" s="440"/>
      <c r="M26" s="282"/>
      <c r="N26" s="302"/>
      <c r="O26" s="302"/>
      <c r="P26" s="303">
        <f>IF(AND(B26&gt;0,D26="Yes"),IF(C26=$H$25,($B26*H26)+(B26*K26),IF(C26=$I$25,($B26*I26)+(B26*K26),IF(C26=$J$25,($B26*J26)+(B26*K26),B26*J26))),IF(AND(B26&gt;0,D26="No"),IF(C26=$H$25,($B26*H26),IF(C26=$I$25,($B26*I26),IF(C26=$J$25,($B26*J26),B26*J26))),0))</f>
        <v>0</v>
      </c>
    </row>
    <row r="27" spans="1:33" x14ac:dyDescent="0.3">
      <c r="A27" s="458"/>
      <c r="B27" s="99"/>
      <c r="C27" s="73"/>
      <c r="D27" s="66"/>
      <c r="E27" s="75"/>
      <c r="F27" s="88"/>
      <c r="G27" s="76"/>
      <c r="H27" s="77"/>
      <c r="I27" s="77"/>
      <c r="J27" s="77"/>
      <c r="K27" s="77"/>
      <c r="L27" s="439"/>
      <c r="M27" s="282"/>
      <c r="N27" s="302"/>
      <c r="O27" s="302"/>
      <c r="P27" s="303"/>
    </row>
    <row r="28" spans="1:33" x14ac:dyDescent="0.3">
      <c r="A28" s="458"/>
      <c r="B28" s="161" t="s">
        <v>95</v>
      </c>
      <c r="C28" s="65" t="s">
        <v>96</v>
      </c>
      <c r="D28" s="161" t="s">
        <v>97</v>
      </c>
      <c r="E28" s="367" t="s">
        <v>104</v>
      </c>
      <c r="F28" s="67"/>
      <c r="G28" s="153"/>
      <c r="H28" s="68" t="s">
        <v>99</v>
      </c>
      <c r="I28" s="68" t="s">
        <v>100</v>
      </c>
      <c r="J28" s="68" t="s">
        <v>101</v>
      </c>
      <c r="K28" s="68" t="s">
        <v>97</v>
      </c>
      <c r="L28" s="439"/>
      <c r="M28" s="282"/>
      <c r="N28" s="302"/>
      <c r="O28" s="302"/>
      <c r="P28" s="303"/>
      <c r="AF28" s="57"/>
      <c r="AG28" s="57"/>
    </row>
    <row r="29" spans="1:33" x14ac:dyDescent="0.3">
      <c r="A29" s="458"/>
      <c r="B29" s="52">
        <v>0</v>
      </c>
      <c r="C29" s="70" t="s">
        <v>99</v>
      </c>
      <c r="D29" s="52" t="s">
        <v>102</v>
      </c>
      <c r="E29" s="368" t="s">
        <v>105</v>
      </c>
      <c r="F29" s="118"/>
      <c r="G29" s="71"/>
      <c r="H29" s="72">
        <v>246</v>
      </c>
      <c r="I29" s="72">
        <v>298</v>
      </c>
      <c r="J29" s="72">
        <v>318</v>
      </c>
      <c r="K29" s="72">
        <v>105</v>
      </c>
      <c r="L29" s="440"/>
      <c r="M29" s="282"/>
      <c r="N29" s="302"/>
      <c r="O29" s="302"/>
      <c r="P29" s="303">
        <f>IF(AND(B29&gt;0,D29="Yes"),IF(C29=$H$28,($B29*H29)+(B29*K29),IF(C29=$I$28,($B29*I29)+(B29*K29),IF(C29=$J$28,($B29*J29)+(B29*K29),B29*J29))),IF(AND(B29&gt;0,D29="No"),IF(C29=$H$28,($B29*H29),IF(C29=$I$28,($B29*I29),IF(C29=$J$28,($B29*J29),B29*J29))),0))</f>
        <v>0</v>
      </c>
    </row>
    <row r="30" spans="1:33" x14ac:dyDescent="0.3">
      <c r="A30" s="458"/>
      <c r="B30" s="99"/>
      <c r="C30" s="73"/>
      <c r="D30" s="66"/>
      <c r="E30" s="75"/>
      <c r="F30" s="88"/>
      <c r="G30" s="76"/>
      <c r="H30" s="77"/>
      <c r="I30" s="77"/>
      <c r="J30" s="77"/>
      <c r="K30" s="77"/>
      <c r="L30" s="439"/>
      <c r="M30" s="282"/>
      <c r="N30" s="302"/>
      <c r="O30" s="302"/>
      <c r="P30" s="303"/>
    </row>
    <row r="31" spans="1:33" x14ac:dyDescent="0.3">
      <c r="A31" s="458"/>
      <c r="B31" s="161" t="s">
        <v>106</v>
      </c>
      <c r="C31" s="65" t="s">
        <v>96</v>
      </c>
      <c r="D31" s="161" t="s">
        <v>97</v>
      </c>
      <c r="E31" s="367" t="s">
        <v>107</v>
      </c>
      <c r="F31" s="67"/>
      <c r="G31" s="153"/>
      <c r="H31" s="68" t="s">
        <v>99</v>
      </c>
      <c r="I31" s="68" t="s">
        <v>100</v>
      </c>
      <c r="J31" s="68" t="s">
        <v>101</v>
      </c>
      <c r="K31" s="68" t="s">
        <v>97</v>
      </c>
      <c r="L31" s="441"/>
      <c r="M31" s="285"/>
      <c r="N31" s="303"/>
      <c r="O31" s="303"/>
      <c r="P31" s="303"/>
    </row>
    <row r="32" spans="1:33" x14ac:dyDescent="0.3">
      <c r="A32" s="458"/>
      <c r="B32" s="52">
        <v>0</v>
      </c>
      <c r="C32" s="70" t="s">
        <v>99</v>
      </c>
      <c r="D32" s="52" t="s">
        <v>102</v>
      </c>
      <c r="E32" s="368" t="s">
        <v>108</v>
      </c>
      <c r="F32" s="118"/>
      <c r="G32" s="71" t="str">
        <f>IF(C32=Lookups!$B$51,"DPR-2900",IF(C32=Lookups!$B$52,"DPR-2901","DPR-2902"))</f>
        <v>DPR-2900</v>
      </c>
      <c r="H32" s="72">
        <v>123</v>
      </c>
      <c r="I32" s="72">
        <v>149</v>
      </c>
      <c r="J32" s="72">
        <v>159</v>
      </c>
      <c r="K32" s="72">
        <v>21</v>
      </c>
      <c r="L32" s="441"/>
      <c r="M32" s="285"/>
      <c r="N32" s="303"/>
      <c r="O32" s="302"/>
      <c r="P32" s="303">
        <f>IF(AND(B32&gt;0,D32="Yes"),IF(C32=$H$31,($B32*H32)+(B32*K32),IF(C32=$I$31,($B32*I32)+(B32*K32),IF(C32=$J$31,($B32*J32)+(B32*K32),B32*J32))),IF(AND(B32&gt;0,D32="No"),IF(C32=$H$31,($B32*H32),IF(C32=$I$31,($B32*I32),IF(C32=$J$31,($B32*J32),B32*J32))),0))</f>
        <v>0</v>
      </c>
    </row>
    <row r="33" spans="1:18" x14ac:dyDescent="0.3">
      <c r="A33" s="458"/>
      <c r="B33" s="99"/>
      <c r="C33" s="99"/>
      <c r="D33" s="65"/>
      <c r="E33" s="88"/>
      <c r="F33" s="88"/>
      <c r="G33" s="76"/>
      <c r="H33" s="77"/>
      <c r="I33" s="77"/>
      <c r="J33" s="77"/>
      <c r="K33" s="77"/>
      <c r="L33" s="439"/>
      <c r="M33" s="282"/>
      <c r="N33" s="302"/>
      <c r="O33" s="302"/>
      <c r="P33" s="303"/>
    </row>
    <row r="34" spans="1:18" x14ac:dyDescent="0.3">
      <c r="A34" s="458"/>
      <c r="B34" s="161" t="s">
        <v>95</v>
      </c>
      <c r="C34" s="65" t="s">
        <v>96</v>
      </c>
      <c r="D34" s="161" t="s">
        <v>97</v>
      </c>
      <c r="E34" s="84" t="s">
        <v>109</v>
      </c>
      <c r="F34" s="84"/>
      <c r="G34" s="153"/>
      <c r="H34" s="68" t="s">
        <v>99</v>
      </c>
      <c r="I34" s="68" t="s">
        <v>100</v>
      </c>
      <c r="J34" s="68" t="s">
        <v>101</v>
      </c>
      <c r="K34" s="68" t="s">
        <v>97</v>
      </c>
      <c r="L34" s="399"/>
      <c r="M34" s="282"/>
      <c r="N34" s="302"/>
      <c r="O34" s="302"/>
      <c r="P34" s="303"/>
      <c r="R34" s="85"/>
    </row>
    <row r="35" spans="1:18" x14ac:dyDescent="0.3">
      <c r="A35" s="458"/>
      <c r="B35" s="52">
        <v>0</v>
      </c>
      <c r="C35" s="70" t="s">
        <v>99</v>
      </c>
      <c r="D35" s="52" t="s">
        <v>102</v>
      </c>
      <c r="E35" s="368" t="s">
        <v>110</v>
      </c>
      <c r="F35" s="86"/>
      <c r="G35" s="71" t="str">
        <f>IF(C35=Lookups!$B$51,"DPR-2903",IF(C35=Lookups!$B$52,"DPR-2904","DPR-2905"))</f>
        <v>DPR-2903</v>
      </c>
      <c r="H35" s="72">
        <v>294</v>
      </c>
      <c r="I35" s="401">
        <v>320</v>
      </c>
      <c r="J35" s="401">
        <v>337</v>
      </c>
      <c r="K35" s="72">
        <v>115</v>
      </c>
      <c r="L35" s="399"/>
      <c r="M35" s="287"/>
      <c r="N35" s="302"/>
      <c r="O35" s="302"/>
      <c r="P35" s="303">
        <f t="shared" ref="P35:P40" si="0">IF(AND(B35&gt;0,D35="Yes"),IF(C35=$H$34,($B35*H35)+(B35*K35),IF(C35=$I$34,($B35*I35)+(B35*K35),IF(C35=$J$34,($B35*J35)+(B35*K35),B35*J35))),IF(AND(B35&gt;0,D35="No"),IF(C35=$H$34,($B35*H35),IF(C35=$I$34,($B35*I35),IF(C35=$J$34,($B35*J35),B35*J35))),0))</f>
        <v>0</v>
      </c>
    </row>
    <row r="36" spans="1:18" ht="15" customHeight="1" x14ac:dyDescent="0.3">
      <c r="A36" s="458"/>
      <c r="B36" s="52">
        <v>0</v>
      </c>
      <c r="C36" s="70" t="s">
        <v>99</v>
      </c>
      <c r="D36" s="52" t="s">
        <v>102</v>
      </c>
      <c r="E36" s="369" t="s">
        <v>111</v>
      </c>
      <c r="F36" s="86"/>
      <c r="G36" s="71" t="str">
        <f>IF(C36=Lookups!$B$51,"DPR-2906",IF(C36=Lookups!$B$52,"DPR-2907","DPR-2908"))</f>
        <v>DPR-2906</v>
      </c>
      <c r="H36" s="72">
        <v>346</v>
      </c>
      <c r="I36" s="401">
        <v>406</v>
      </c>
      <c r="J36" s="401">
        <v>424</v>
      </c>
      <c r="K36" s="72">
        <v>126</v>
      </c>
      <c r="L36" s="399"/>
      <c r="M36" s="287"/>
      <c r="N36" s="302"/>
      <c r="O36" s="302"/>
      <c r="P36" s="303">
        <f t="shared" si="0"/>
        <v>0</v>
      </c>
      <c r="R36" s="85"/>
    </row>
    <row r="37" spans="1:18" x14ac:dyDescent="0.3">
      <c r="A37" s="458"/>
      <c r="B37" s="52">
        <v>0</v>
      </c>
      <c r="C37" s="70" t="s">
        <v>99</v>
      </c>
      <c r="D37" s="52" t="s">
        <v>102</v>
      </c>
      <c r="E37" s="369" t="s">
        <v>112</v>
      </c>
      <c r="F37" s="86"/>
      <c r="G37" s="71" t="str">
        <f>IF(C37=Lookups!$B$51,"DPR-2909",IF(C37=Lookups!$B$52,"DPR-2910","DPR-2911"))</f>
        <v>DPR-2909</v>
      </c>
      <c r="H37" s="72">
        <v>406</v>
      </c>
      <c r="I37" s="72">
        <v>441</v>
      </c>
      <c r="J37" s="72">
        <v>458</v>
      </c>
      <c r="K37" s="72">
        <v>147</v>
      </c>
      <c r="L37" s="399"/>
      <c r="M37" s="287"/>
      <c r="N37" s="302"/>
      <c r="O37" s="302"/>
      <c r="P37" s="303">
        <f t="shared" si="0"/>
        <v>0</v>
      </c>
      <c r="R37" s="85"/>
    </row>
    <row r="38" spans="1:18" x14ac:dyDescent="0.3">
      <c r="A38" s="458"/>
      <c r="B38" s="52">
        <v>0</v>
      </c>
      <c r="C38" s="70" t="s">
        <v>99</v>
      </c>
      <c r="D38" s="52" t="s">
        <v>102</v>
      </c>
      <c r="E38" s="369" t="s">
        <v>113</v>
      </c>
      <c r="F38" s="86"/>
      <c r="G38" s="71" t="str">
        <f>IF(C38=Lookups!$B$51,"DPR-2912",IF(C38=Lookups!$B$52,"DPR-2913","DPR-2914"))</f>
        <v>DPR-2912</v>
      </c>
      <c r="H38" s="72">
        <v>588</v>
      </c>
      <c r="I38" s="72">
        <v>623</v>
      </c>
      <c r="J38" s="72">
        <v>649</v>
      </c>
      <c r="K38" s="72">
        <v>147</v>
      </c>
      <c r="L38" s="399"/>
      <c r="M38" s="287"/>
      <c r="N38" s="302"/>
      <c r="O38" s="302"/>
      <c r="P38" s="303">
        <f t="shared" si="0"/>
        <v>0</v>
      </c>
      <c r="R38" s="85"/>
    </row>
    <row r="39" spans="1:18" x14ac:dyDescent="0.3">
      <c r="A39" s="458"/>
      <c r="B39" s="52">
        <v>0</v>
      </c>
      <c r="C39" s="70" t="s">
        <v>99</v>
      </c>
      <c r="D39" s="52" t="s">
        <v>102</v>
      </c>
      <c r="E39" s="369" t="s">
        <v>114</v>
      </c>
      <c r="F39" s="86"/>
      <c r="G39" s="71" t="str">
        <f>IF(C39=Lookups!$B$51,"DPR-2915",IF(C39=Lookups!$B$52,"DPR-2916","DPR-2917"))</f>
        <v>DPR-2915</v>
      </c>
      <c r="H39" s="72">
        <v>701</v>
      </c>
      <c r="I39" s="72">
        <v>718</v>
      </c>
      <c r="J39" s="72">
        <v>753</v>
      </c>
      <c r="K39" s="72">
        <v>209</v>
      </c>
      <c r="L39" s="399"/>
      <c r="M39" s="287"/>
      <c r="N39" s="302"/>
      <c r="O39" s="302"/>
      <c r="P39" s="303">
        <f t="shared" si="0"/>
        <v>0</v>
      </c>
      <c r="R39" s="85"/>
    </row>
    <row r="40" spans="1:18" x14ac:dyDescent="0.3">
      <c r="A40" s="458"/>
      <c r="B40" s="52">
        <v>0</v>
      </c>
      <c r="C40" s="70" t="s">
        <v>99</v>
      </c>
      <c r="D40" s="52" t="s">
        <v>102</v>
      </c>
      <c r="E40" s="369" t="s">
        <v>115</v>
      </c>
      <c r="F40" s="86"/>
      <c r="G40" s="71" t="str">
        <f>IF(C40=Lookups!$B$51,"DPR-2918",IF(C40=Lookups!$B$52,"DPR-2919","DPR-2920"))</f>
        <v>DPR-2918</v>
      </c>
      <c r="H40" s="401">
        <v>822</v>
      </c>
      <c r="I40" s="401">
        <v>892</v>
      </c>
      <c r="J40" s="401">
        <v>935</v>
      </c>
      <c r="K40" s="72">
        <v>262</v>
      </c>
      <c r="L40" s="399"/>
      <c r="M40" s="287"/>
      <c r="N40" s="302"/>
      <c r="O40" s="302"/>
      <c r="P40" s="303">
        <f t="shared" si="0"/>
        <v>0</v>
      </c>
    </row>
    <row r="41" spans="1:18" x14ac:dyDescent="0.3">
      <c r="A41" s="458"/>
      <c r="C41" s="36"/>
      <c r="D41" s="1"/>
      <c r="E41" s="418" t="s">
        <v>116</v>
      </c>
      <c r="F41" s="80"/>
      <c r="G41" s="76"/>
      <c r="H41" s="77"/>
      <c r="I41" s="77"/>
      <c r="J41" s="77"/>
      <c r="K41" s="77"/>
      <c r="L41" s="439"/>
      <c r="M41" s="282"/>
      <c r="N41" s="302"/>
      <c r="O41" s="302"/>
      <c r="P41" s="303"/>
      <c r="R41" s="85"/>
    </row>
    <row r="42" spans="1:18" x14ac:dyDescent="0.3">
      <c r="A42" s="458"/>
      <c r="C42" s="36"/>
      <c r="D42" s="1"/>
      <c r="E42" s="263" t="s">
        <v>117</v>
      </c>
      <c r="F42" s="76"/>
      <c r="G42" s="76"/>
      <c r="H42" s="77"/>
      <c r="I42" s="77"/>
      <c r="J42" s="77"/>
      <c r="K42" s="77"/>
      <c r="L42" s="442"/>
      <c r="M42" s="282"/>
      <c r="N42" s="302"/>
      <c r="O42" s="302"/>
      <c r="P42" s="302"/>
      <c r="R42" s="85"/>
    </row>
    <row r="43" spans="1:18" x14ac:dyDescent="0.3">
      <c r="A43" s="458"/>
      <c r="C43" s="36"/>
      <c r="D43" s="1"/>
      <c r="E43" s="76"/>
      <c r="F43" s="76"/>
      <c r="G43" s="76"/>
      <c r="H43" s="77"/>
      <c r="I43" s="77"/>
      <c r="J43" s="77"/>
      <c r="K43" s="77"/>
      <c r="L43" s="442"/>
      <c r="M43" s="282"/>
      <c r="N43" s="302"/>
      <c r="O43" s="302"/>
      <c r="P43" s="302"/>
      <c r="R43" s="85"/>
    </row>
    <row r="44" spans="1:18" ht="15" customHeight="1" x14ac:dyDescent="0.3">
      <c r="A44" s="458"/>
      <c r="B44" s="162"/>
      <c r="C44" s="162"/>
      <c r="D44" s="159"/>
      <c r="E44" s="183" t="s">
        <v>118</v>
      </c>
      <c r="F44" s="329"/>
      <c r="G44" s="329"/>
      <c r="H44" s="330"/>
      <c r="I44" s="177"/>
      <c r="J44" s="177"/>
      <c r="K44" s="177"/>
      <c r="L44" s="171"/>
      <c r="M44" s="281"/>
      <c r="N44" s="301"/>
      <c r="O44" s="301"/>
      <c r="P44" s="301"/>
    </row>
    <row r="45" spans="1:18" ht="15" customHeight="1" x14ac:dyDescent="0.3">
      <c r="A45" s="458"/>
      <c r="B45" s="161" t="s">
        <v>95</v>
      </c>
      <c r="C45" s="65" t="s">
        <v>96</v>
      </c>
      <c r="D45" s="161" t="s">
        <v>97</v>
      </c>
      <c r="E45" s="90" t="s">
        <v>119</v>
      </c>
      <c r="F45" s="86"/>
      <c r="G45" s="153"/>
      <c r="H45" s="68" t="s">
        <v>99</v>
      </c>
      <c r="I45" s="68" t="s">
        <v>100</v>
      </c>
      <c r="J45" s="68" t="s">
        <v>101</v>
      </c>
      <c r="K45" s="68" t="s">
        <v>97</v>
      </c>
      <c r="L45" s="442"/>
      <c r="M45" s="282"/>
      <c r="N45" s="302"/>
      <c r="O45" s="302"/>
      <c r="P45" s="303"/>
    </row>
    <row r="46" spans="1:18" x14ac:dyDescent="0.3">
      <c r="A46" s="458"/>
      <c r="B46" s="52">
        <v>0</v>
      </c>
      <c r="C46" s="70" t="s">
        <v>99</v>
      </c>
      <c r="D46" s="52" t="s">
        <v>102</v>
      </c>
      <c r="E46" s="369" t="s">
        <v>120</v>
      </c>
      <c r="F46" s="363"/>
      <c r="G46" s="71" t="str">
        <f>IF(C46=Lookups!$B$51,"DPR-2921",IF(C46=Lookups!$B$52,"DPR-2922","DPR-2923"))</f>
        <v>DPR-2921</v>
      </c>
      <c r="H46" s="72">
        <v>79</v>
      </c>
      <c r="I46" s="72">
        <v>99</v>
      </c>
      <c r="J46" s="72">
        <v>109</v>
      </c>
      <c r="K46" s="72">
        <v>79</v>
      </c>
      <c r="L46" s="442"/>
      <c r="M46" s="282"/>
      <c r="N46" s="302"/>
      <c r="O46" s="302"/>
      <c r="P46" s="303">
        <f>IF(AND(B46&gt;0,D46="Yes"),IF(C46=$H$45,($B46*H46)+(B46*K46),IF(C46=$I$45,($B46*I46)+(B46*K46),IF(C46=$J$45,($B46*J46)+(B46*K46),B46*J46))),IF(AND(B46&gt;0,D46="No"),IF(C46=$H$45,($B46*H46),IF(C46=$I$45,($B46*I46),IF(C46=$J$45,($B46*J46),B46*J46))),0))</f>
        <v>0</v>
      </c>
    </row>
    <row r="47" spans="1:18" x14ac:dyDescent="0.3">
      <c r="A47" s="458"/>
      <c r="B47" s="52">
        <v>0</v>
      </c>
      <c r="C47" s="70" t="s">
        <v>99</v>
      </c>
      <c r="D47" s="52" t="s">
        <v>102</v>
      </c>
      <c r="E47" s="369" t="s">
        <v>121</v>
      </c>
      <c r="F47" s="363"/>
      <c r="G47" s="71" t="str">
        <f>IF(C47=Lookups!$B$51,"DPR-2924",IF(C47=Lookups!$B$52,"DPR-2925","DPR-2926"))</f>
        <v>DPR-2924</v>
      </c>
      <c r="H47" s="401">
        <f>H46*2</f>
        <v>158</v>
      </c>
      <c r="I47" s="401">
        <f>I46*2</f>
        <v>198</v>
      </c>
      <c r="J47" s="401">
        <f>J46*2</f>
        <v>218</v>
      </c>
      <c r="K47" s="401">
        <v>95</v>
      </c>
      <c r="L47" s="442"/>
      <c r="M47" s="282"/>
      <c r="N47" s="302"/>
      <c r="O47" s="302"/>
      <c r="P47" s="303">
        <f>IF(AND(B47&gt;0,D47="Yes"),IF(C47=$H$45,($B47*H47)+(B47*K47),IF(C47=$I$45,($B47*I47)+(B47*K47),IF(C47=$J$45,($B47*J47)+(B47*K47),B47*J47))),IF(AND(B47&gt;0,D47="No"),IF(C47=$H$45,($B47*H47),IF(C47=$I$45,($B47*I47),IF(C47=$J$45,($B47*J47),B47*J47))),0))</f>
        <v>0</v>
      </c>
    </row>
    <row r="48" spans="1:18" x14ac:dyDescent="0.3">
      <c r="A48" s="458"/>
      <c r="B48" s="52">
        <v>0</v>
      </c>
      <c r="C48" s="70" t="s">
        <v>99</v>
      </c>
      <c r="D48" s="52" t="s">
        <v>102</v>
      </c>
      <c r="E48" s="369" t="s">
        <v>122</v>
      </c>
      <c r="F48" s="363"/>
      <c r="G48" s="71" t="str">
        <f>IF(C48=Lookups!$B$51,"DPR-2927",IF(C48=Lookups!$B$52,"DPR-2928","DPR-2929"))</f>
        <v>DPR-2927</v>
      </c>
      <c r="H48" s="401">
        <f>H46*3</f>
        <v>237</v>
      </c>
      <c r="I48" s="401">
        <f>I46*3</f>
        <v>297</v>
      </c>
      <c r="J48" s="401">
        <f>J46*3</f>
        <v>327</v>
      </c>
      <c r="K48" s="401">
        <v>111</v>
      </c>
      <c r="L48" s="442"/>
      <c r="M48" s="282"/>
      <c r="N48" s="302"/>
      <c r="O48" s="302"/>
      <c r="P48" s="303">
        <f>IF(AND(B48&gt;0,D48="Yes"),IF(C48=$H$45,($B48*H48)+(B48*K48),IF(C48=$I$45,($B48*I48)+(B48*K48),IF(C48=$J$45,($B48*J48)+(B48*K48),B48*J48))),IF(AND(B48&gt;0,D48="No"),IF(C48=$H$45,($B48*H48),IF(C48=$I$45,($B48*I48),IF(C48=$J$45,($B48*J48),B48*J48))),0))</f>
        <v>0</v>
      </c>
    </row>
    <row r="49" spans="1:31" x14ac:dyDescent="0.3">
      <c r="A49" s="458"/>
      <c r="B49" s="52">
        <v>0</v>
      </c>
      <c r="C49" s="70" t="s">
        <v>99</v>
      </c>
      <c r="D49" s="52" t="s">
        <v>102</v>
      </c>
      <c r="E49" s="369" t="s">
        <v>123</v>
      </c>
      <c r="F49" s="363"/>
      <c r="G49" s="71" t="str">
        <f>IF(C49=Lookups!$B$51,"DPR-2930",IF(C49=Lookups!$B$52,"DPR-2931","DPR-2932"))</f>
        <v>DPR-2930</v>
      </c>
      <c r="H49" s="401">
        <f>H46*4</f>
        <v>316</v>
      </c>
      <c r="I49" s="401">
        <f>I46*4</f>
        <v>396</v>
      </c>
      <c r="J49" s="401">
        <f>J46*4</f>
        <v>436</v>
      </c>
      <c r="K49" s="401">
        <v>127</v>
      </c>
      <c r="L49" s="442"/>
      <c r="M49" s="282"/>
      <c r="N49" s="302"/>
      <c r="O49" s="302"/>
      <c r="P49" s="303">
        <f>IF(AND(B49&gt;0,D49="Yes"),IF(C49=$H$45,($B49*H49)+(B49*K49),IF(C49=$I$45,($B49*I49)+(B49*K49),IF(C49=$J$45,($B49*J49)+(B49*K49),B49*J49))),IF(AND(B49&gt;0,D49="No"),IF(C49=$H$45,($B49*H49),IF(C49=$I$45,($B49*I49),IF(C49=$J$45,($B49*J49),B49*J49))),0))</f>
        <v>0</v>
      </c>
    </row>
    <row r="50" spans="1:31" x14ac:dyDescent="0.3">
      <c r="A50" s="458"/>
      <c r="B50" s="99"/>
      <c r="C50" s="73"/>
      <c r="D50" s="65"/>
      <c r="E50" s="418" t="s">
        <v>116</v>
      </c>
      <c r="F50" s="76"/>
      <c r="G50" s="76"/>
      <c r="H50" s="77"/>
      <c r="I50" s="77"/>
      <c r="J50" s="77"/>
      <c r="K50" s="77"/>
      <c r="L50" s="441"/>
      <c r="M50" s="285"/>
      <c r="N50" s="303"/>
      <c r="O50" s="303"/>
      <c r="P50" s="303"/>
    </row>
    <row r="51" spans="1:31" s="80" customFormat="1" x14ac:dyDescent="0.3">
      <c r="A51" s="458"/>
      <c r="B51" s="99"/>
      <c r="C51" s="73"/>
      <c r="D51" s="74"/>
      <c r="E51" s="75"/>
      <c r="F51" s="76"/>
      <c r="G51" s="76"/>
      <c r="H51" s="77"/>
      <c r="I51" s="77"/>
      <c r="J51" s="77"/>
      <c r="K51" s="77"/>
      <c r="L51" s="441"/>
      <c r="M51" s="285"/>
      <c r="N51" s="303"/>
      <c r="O51" s="303"/>
      <c r="P51" s="303"/>
    </row>
    <row r="52" spans="1:31" s="80" customFormat="1" x14ac:dyDescent="0.3">
      <c r="A52" s="458"/>
      <c r="B52" s="161" t="s">
        <v>95</v>
      </c>
      <c r="C52" s="65" t="s">
        <v>96</v>
      </c>
      <c r="D52" s="161" t="s">
        <v>97</v>
      </c>
      <c r="E52" s="75"/>
      <c r="F52" s="76"/>
      <c r="G52" s="76"/>
      <c r="H52" s="68" t="s">
        <v>99</v>
      </c>
      <c r="I52" s="68" t="s">
        <v>100</v>
      </c>
      <c r="J52" s="68" t="s">
        <v>101</v>
      </c>
      <c r="K52" s="68" t="s">
        <v>97</v>
      </c>
      <c r="L52" s="441"/>
      <c r="M52" s="285"/>
      <c r="N52" s="303"/>
      <c r="O52" s="303"/>
      <c r="P52" s="303"/>
    </row>
    <row r="53" spans="1:31" s="80" customFormat="1" x14ac:dyDescent="0.3">
      <c r="A53" s="458"/>
      <c r="B53" s="52">
        <v>0</v>
      </c>
      <c r="C53" s="70" t="s">
        <v>99</v>
      </c>
      <c r="D53" s="52" t="s">
        <v>102</v>
      </c>
      <c r="E53" s="90" t="s">
        <v>124</v>
      </c>
      <c r="F53" s="86"/>
      <c r="G53" s="87"/>
      <c r="H53" s="93">
        <v>0</v>
      </c>
      <c r="I53" s="93">
        <v>0</v>
      </c>
      <c r="J53" s="93">
        <v>0</v>
      </c>
      <c r="K53" s="93">
        <v>0</v>
      </c>
      <c r="L53" s="399"/>
      <c r="M53" s="287"/>
      <c r="N53" s="302"/>
      <c r="O53" s="302"/>
      <c r="P53" s="303">
        <f>IF(AND(B53&gt;0,D53="Yes"),IF(C53=$H$52,($B53*H53)+(B53*K53),IF(C53=$I$52,($B53*I53)+(B53*K53),IF(C53=$J$52,($B53*J53)+(B53*K53),B53*J53))),IF(AND(B53&gt;0,D53="No"),IF(C53=$H$52,($B53*H53),IF(C53=$I$52,($B53*I53),IF(C53=$J$52,($B53*J53),B53*J53))),0))</f>
        <v>0</v>
      </c>
    </row>
    <row r="54" spans="1:31" s="80" customFormat="1" x14ac:dyDescent="0.3">
      <c r="A54" s="458"/>
      <c r="B54" s="38"/>
      <c r="C54" s="36"/>
      <c r="D54" s="1"/>
      <c r="E54" s="45"/>
      <c r="F54" s="45"/>
      <c r="G54" s="45"/>
      <c r="H54" s="58"/>
      <c r="I54" s="58"/>
      <c r="J54" s="58"/>
      <c r="K54" s="58"/>
      <c r="L54" s="442"/>
      <c r="M54" s="282"/>
      <c r="N54" s="302"/>
      <c r="O54" s="302"/>
      <c r="P54" s="302"/>
    </row>
    <row r="55" spans="1:31" ht="15.6" x14ac:dyDescent="0.3">
      <c r="A55" s="458"/>
      <c r="B55" s="203"/>
      <c r="C55" s="204"/>
      <c r="D55" s="157" t="s">
        <v>125</v>
      </c>
      <c r="E55" s="47"/>
      <c r="F55" s="47"/>
      <c r="G55" s="47"/>
      <c r="H55" s="48"/>
      <c r="I55" s="48"/>
      <c r="J55" s="48"/>
      <c r="K55" s="48"/>
      <c r="L55" s="170"/>
      <c r="M55" s="280">
        <f>SUM(M56:M61)</f>
        <v>0</v>
      </c>
      <c r="N55" s="300">
        <f>SUM(N56:N61)</f>
        <v>0</v>
      </c>
      <c r="O55" s="300">
        <f>SUM(O56:O61)</f>
        <v>0</v>
      </c>
      <c r="P55" s="300">
        <f>SUM(P56:P61)</f>
        <v>0</v>
      </c>
      <c r="AD55" s="57"/>
      <c r="AE55" s="57"/>
    </row>
    <row r="56" spans="1:31" ht="15" customHeight="1" x14ac:dyDescent="0.3">
      <c r="A56" s="458"/>
      <c r="B56" s="162"/>
      <c r="C56" s="162"/>
      <c r="D56" s="159"/>
      <c r="E56" s="159" t="s">
        <v>126</v>
      </c>
      <c r="F56" s="110"/>
      <c r="G56" s="110"/>
      <c r="H56" s="111"/>
      <c r="I56" s="177" t="s">
        <v>127</v>
      </c>
      <c r="J56" s="112"/>
      <c r="K56" s="112"/>
      <c r="L56" s="171"/>
      <c r="M56" s="281"/>
      <c r="N56" s="301"/>
      <c r="O56" s="301"/>
      <c r="P56" s="301"/>
    </row>
    <row r="57" spans="1:31" x14ac:dyDescent="0.3">
      <c r="A57" s="458"/>
      <c r="B57" s="52">
        <v>0</v>
      </c>
      <c r="C57" s="92" t="s">
        <v>128</v>
      </c>
      <c r="D57" s="1"/>
      <c r="E57" s="185" t="s">
        <v>129</v>
      </c>
      <c r="F57" s="71"/>
      <c r="G57" s="59" t="s">
        <v>130</v>
      </c>
      <c r="H57" s="402">
        <v>110.25</v>
      </c>
      <c r="I57" s="72">
        <v>0.11</v>
      </c>
      <c r="J57" s="58" t="s">
        <v>83</v>
      </c>
      <c r="K57" s="58"/>
      <c r="L57" s="206"/>
      <c r="M57" s="284"/>
      <c r="N57" s="304"/>
      <c r="O57" s="304"/>
      <c r="P57" s="304">
        <f>+B57*H57</f>
        <v>0</v>
      </c>
    </row>
    <row r="58" spans="1:31" x14ac:dyDescent="0.3">
      <c r="A58" s="458"/>
      <c r="B58" s="36">
        <f>B57</f>
        <v>0</v>
      </c>
      <c r="C58" s="53" t="s">
        <v>128</v>
      </c>
      <c r="E58" s="54" t="s">
        <v>131</v>
      </c>
      <c r="F58" s="106"/>
      <c r="G58" s="87" t="s">
        <v>132</v>
      </c>
      <c r="H58" s="72">
        <v>175</v>
      </c>
      <c r="I58" s="77"/>
      <c r="J58" s="102" t="s">
        <v>86</v>
      </c>
      <c r="K58" s="102"/>
      <c r="L58" s="105"/>
      <c r="M58" s="282">
        <f>+H58*B58</f>
        <v>0</v>
      </c>
      <c r="N58" s="302"/>
      <c r="O58" s="302"/>
      <c r="P58" s="302"/>
    </row>
    <row r="59" spans="1:31" x14ac:dyDescent="0.3">
      <c r="A59" s="458"/>
      <c r="E59" s="80" t="s">
        <v>133</v>
      </c>
      <c r="F59" s="80"/>
      <c r="G59" s="172"/>
      <c r="H59" s="45"/>
      <c r="I59" s="207"/>
      <c r="J59" s="207"/>
      <c r="K59" s="207"/>
      <c r="L59" s="207"/>
      <c r="M59" s="288"/>
      <c r="N59" s="306"/>
      <c r="O59" s="306"/>
      <c r="P59" s="306"/>
    </row>
    <row r="60" spans="1:31" x14ac:dyDescent="0.3">
      <c r="A60" s="458"/>
      <c r="E60" s="45"/>
      <c r="F60" s="45"/>
      <c r="G60" s="45"/>
      <c r="H60" s="45"/>
      <c r="I60" s="207"/>
      <c r="J60" s="207"/>
      <c r="K60" s="207"/>
      <c r="L60" s="207"/>
      <c r="M60" s="288"/>
      <c r="N60" s="306"/>
      <c r="O60" s="302"/>
      <c r="P60" s="302"/>
    </row>
    <row r="61" spans="1:31" x14ac:dyDescent="0.3">
      <c r="A61" s="458"/>
      <c r="G61" s="97"/>
      <c r="H61" s="98"/>
      <c r="I61" s="39"/>
      <c r="J61" s="39"/>
      <c r="K61" s="39"/>
      <c r="M61" s="288"/>
      <c r="N61" s="306"/>
      <c r="O61" s="306"/>
      <c r="P61" s="306"/>
    </row>
    <row r="62" spans="1:31" ht="15.6" x14ac:dyDescent="0.3">
      <c r="A62" s="458"/>
      <c r="B62" s="203"/>
      <c r="C62" s="204"/>
      <c r="D62" s="157" t="s">
        <v>134</v>
      </c>
      <c r="E62" s="47"/>
      <c r="F62" s="47"/>
      <c r="G62" s="47"/>
      <c r="H62" s="48"/>
      <c r="I62" s="48"/>
      <c r="J62" s="48"/>
      <c r="K62" s="48"/>
      <c r="L62" s="170"/>
      <c r="M62" s="280">
        <f>SUM(M63:M89)</f>
        <v>0</v>
      </c>
      <c r="N62" s="300">
        <f>SUM(N63:N89)</f>
        <v>0</v>
      </c>
      <c r="O62" s="300">
        <f>SUM(O63:O89)</f>
        <v>0</v>
      </c>
      <c r="P62" s="300">
        <f>SUM(P63:P89)</f>
        <v>0</v>
      </c>
    </row>
    <row r="63" spans="1:31" x14ac:dyDescent="0.3">
      <c r="A63" s="458"/>
      <c r="B63" s="52">
        <v>0</v>
      </c>
      <c r="C63" s="92" t="s">
        <v>128</v>
      </c>
      <c r="D63" s="74"/>
      <c r="E63" s="90" t="s">
        <v>135</v>
      </c>
      <c r="F63" s="86"/>
      <c r="G63" s="84" t="s">
        <v>136</v>
      </c>
      <c r="H63" s="402">
        <v>110.25</v>
      </c>
      <c r="I63" s="38" t="s">
        <v>83</v>
      </c>
      <c r="J63" s="102"/>
      <c r="K63" s="102"/>
      <c r="L63" s="94"/>
      <c r="M63" s="282"/>
      <c r="N63" s="302"/>
      <c r="O63" s="302">
        <f>IF(B63&gt;0,Lookups!$B$68,0)</f>
        <v>0</v>
      </c>
      <c r="P63" s="302">
        <f>B63*H63</f>
        <v>0</v>
      </c>
    </row>
    <row r="64" spans="1:31" x14ac:dyDescent="0.3">
      <c r="A64" s="458"/>
      <c r="B64" s="52">
        <v>0</v>
      </c>
      <c r="C64" s="92" t="s">
        <v>128</v>
      </c>
      <c r="D64" s="74"/>
      <c r="E64" s="90" t="s">
        <v>137</v>
      </c>
      <c r="F64" s="86"/>
      <c r="G64" s="84" t="s">
        <v>138</v>
      </c>
      <c r="H64" s="402">
        <v>162.75</v>
      </c>
      <c r="I64" s="38" t="s">
        <v>83</v>
      </c>
      <c r="J64" s="102"/>
      <c r="K64" s="102"/>
      <c r="L64" s="94"/>
      <c r="M64" s="282"/>
      <c r="N64" s="302"/>
      <c r="O64" s="302">
        <f>IF(B64&gt;0,Lookups!$B$68,0)</f>
        <v>0</v>
      </c>
      <c r="P64" s="302">
        <f>B64*H64</f>
        <v>0</v>
      </c>
    </row>
    <row r="65" spans="1:16" x14ac:dyDescent="0.3">
      <c r="A65" s="458"/>
      <c r="B65" s="52">
        <v>0</v>
      </c>
      <c r="C65" s="92" t="s">
        <v>128</v>
      </c>
      <c r="D65" s="74"/>
      <c r="E65" s="90" t="s">
        <v>139</v>
      </c>
      <c r="F65" s="86"/>
      <c r="G65" s="84" t="s">
        <v>140</v>
      </c>
      <c r="H65" s="402">
        <v>225.75</v>
      </c>
      <c r="I65" s="38" t="s">
        <v>83</v>
      </c>
      <c r="J65" s="102"/>
      <c r="K65" s="102"/>
      <c r="L65" s="94"/>
      <c r="M65" s="282"/>
      <c r="N65" s="302"/>
      <c r="O65" s="302">
        <f>IF(B65&gt;0,Lookups!$B$68,0)</f>
        <v>0</v>
      </c>
      <c r="P65" s="302">
        <f>B65*H65</f>
        <v>0</v>
      </c>
    </row>
    <row r="66" spans="1:16" ht="15" x14ac:dyDescent="0.3">
      <c r="A66" s="458"/>
      <c r="B66" s="52">
        <v>0</v>
      </c>
      <c r="C66" s="92" t="s">
        <v>128</v>
      </c>
      <c r="D66" s="74"/>
      <c r="E66" s="90" t="s">
        <v>141</v>
      </c>
      <c r="F66" s="86"/>
      <c r="G66" s="84" t="s">
        <v>142</v>
      </c>
      <c r="H66" s="402">
        <v>325.5</v>
      </c>
      <c r="I66" s="38" t="s">
        <v>83</v>
      </c>
      <c r="J66" s="102"/>
      <c r="K66" s="102"/>
      <c r="L66" s="94"/>
      <c r="M66" s="289"/>
      <c r="N66" s="308"/>
      <c r="O66" s="302">
        <f>IF(B66&gt;0,Lookups!$B$68,0)</f>
        <v>0</v>
      </c>
      <c r="P66" s="302">
        <f>B66*H66</f>
        <v>0</v>
      </c>
    </row>
    <row r="67" spans="1:16" ht="15" customHeight="1" x14ac:dyDescent="0.3">
      <c r="A67" s="458"/>
      <c r="B67" s="36">
        <f>SUM(B63:B66)</f>
        <v>0</v>
      </c>
      <c r="C67" s="92" t="s">
        <v>128</v>
      </c>
      <c r="D67" s="1"/>
      <c r="E67" s="90" t="s">
        <v>143</v>
      </c>
      <c r="F67" s="107"/>
      <c r="G67" s="87" t="s">
        <v>144</v>
      </c>
      <c r="H67" s="72">
        <f>200*1.05</f>
        <v>210</v>
      </c>
      <c r="I67" s="38" t="s">
        <v>86</v>
      </c>
      <c r="L67" s="105"/>
      <c r="M67" s="282">
        <f>+H67*B67</f>
        <v>0</v>
      </c>
      <c r="N67" s="302"/>
      <c r="O67" s="302"/>
      <c r="P67" s="302"/>
    </row>
    <row r="68" spans="1:16" x14ac:dyDescent="0.3">
      <c r="A68" s="458"/>
      <c r="B68" s="36"/>
      <c r="C68" s="36"/>
      <c r="D68" s="1"/>
      <c r="E68" s="75" t="s">
        <v>145</v>
      </c>
      <c r="F68" s="75"/>
      <c r="G68" s="45"/>
      <c r="H68" s="77"/>
      <c r="I68" s="38"/>
      <c r="J68" s="102"/>
      <c r="K68" s="102"/>
      <c r="L68" s="105"/>
      <c r="M68" s="282"/>
      <c r="N68" s="302"/>
      <c r="O68" s="302"/>
      <c r="P68" s="302"/>
    </row>
    <row r="69" spans="1:16" x14ac:dyDescent="0.3">
      <c r="A69" s="458"/>
      <c r="B69" s="36"/>
      <c r="C69" s="36"/>
      <c r="D69" s="1"/>
      <c r="E69" s="418" t="s">
        <v>146</v>
      </c>
      <c r="F69" s="75"/>
      <c r="G69" s="45"/>
      <c r="H69" s="77"/>
      <c r="I69" s="38"/>
      <c r="J69" s="102"/>
      <c r="K69" s="102"/>
      <c r="L69" s="105"/>
      <c r="M69" s="282"/>
      <c r="N69" s="302"/>
      <c r="O69" s="302"/>
      <c r="P69" s="302"/>
    </row>
    <row r="70" spans="1:16" x14ac:dyDescent="0.3">
      <c r="A70" s="458"/>
      <c r="B70" s="52">
        <v>0</v>
      </c>
      <c r="C70" s="92" t="s">
        <v>128</v>
      </c>
      <c r="D70" s="74"/>
      <c r="E70" s="90" t="s">
        <v>147</v>
      </c>
      <c r="F70" s="86"/>
      <c r="G70" s="84" t="s">
        <v>148</v>
      </c>
      <c r="H70" s="402">
        <v>63</v>
      </c>
      <c r="I70" s="38" t="s">
        <v>83</v>
      </c>
      <c r="J70" s="102"/>
      <c r="K70" s="102"/>
      <c r="L70" s="94"/>
      <c r="M70" s="282"/>
      <c r="N70" s="302"/>
      <c r="O70" s="302"/>
      <c r="P70" s="302">
        <f>B70*H70</f>
        <v>0</v>
      </c>
    </row>
    <row r="71" spans="1:16" x14ac:dyDescent="0.3">
      <c r="A71" s="458"/>
      <c r="B71" s="52">
        <v>0</v>
      </c>
      <c r="C71" s="92" t="s">
        <v>128</v>
      </c>
      <c r="D71" s="74"/>
      <c r="E71" s="90" t="s">
        <v>149</v>
      </c>
      <c r="F71" s="86"/>
      <c r="G71" s="84" t="s">
        <v>150</v>
      </c>
      <c r="H71" s="402">
        <v>94.5</v>
      </c>
      <c r="I71" s="38" t="s">
        <v>83</v>
      </c>
      <c r="J71" s="102"/>
      <c r="K71" s="102"/>
      <c r="L71" s="94"/>
      <c r="M71" s="282"/>
      <c r="N71" s="302"/>
      <c r="O71" s="302"/>
      <c r="P71" s="302">
        <f>B71*H71</f>
        <v>0</v>
      </c>
    </row>
    <row r="72" spans="1:16" x14ac:dyDescent="0.3">
      <c r="A72" s="458"/>
      <c r="B72" s="52">
        <v>0</v>
      </c>
      <c r="C72" s="92" t="s">
        <v>128</v>
      </c>
      <c r="D72" s="74"/>
      <c r="E72" s="90" t="s">
        <v>151</v>
      </c>
      <c r="F72" s="86"/>
      <c r="G72" s="84" t="s">
        <v>152</v>
      </c>
      <c r="H72" s="402">
        <v>120.75</v>
      </c>
      <c r="I72" s="38" t="s">
        <v>83</v>
      </c>
      <c r="J72" s="102"/>
      <c r="K72" s="102"/>
      <c r="L72" s="94"/>
      <c r="M72" s="282"/>
      <c r="N72" s="302"/>
      <c r="O72" s="302"/>
      <c r="P72" s="302">
        <f>B72*H72</f>
        <v>0</v>
      </c>
    </row>
    <row r="73" spans="1:16" x14ac:dyDescent="0.3">
      <c r="A73" s="458"/>
      <c r="B73" s="52">
        <v>0</v>
      </c>
      <c r="C73" s="92" t="s">
        <v>128</v>
      </c>
      <c r="D73" s="74"/>
      <c r="E73" s="90" t="s">
        <v>153</v>
      </c>
      <c r="F73" s="86"/>
      <c r="G73" s="84" t="s">
        <v>154</v>
      </c>
      <c r="H73" s="402">
        <v>162.75</v>
      </c>
      <c r="I73" s="38" t="s">
        <v>83</v>
      </c>
      <c r="J73" s="102"/>
      <c r="K73" s="102"/>
      <c r="L73" s="94"/>
      <c r="M73" s="289"/>
      <c r="N73" s="308"/>
      <c r="O73" s="302"/>
      <c r="P73" s="302">
        <f>B73*H73</f>
        <v>0</v>
      </c>
    </row>
    <row r="74" spans="1:16" x14ac:dyDescent="0.3">
      <c r="A74" s="458"/>
      <c r="B74" s="36">
        <f>SUM(B70:B73)</f>
        <v>0</v>
      </c>
      <c r="C74" s="92" t="s">
        <v>128</v>
      </c>
      <c r="D74" s="1"/>
      <c r="E74" s="90" t="s">
        <v>155</v>
      </c>
      <c r="F74" s="107"/>
      <c r="G74" s="87" t="s">
        <v>156</v>
      </c>
      <c r="H74" s="72">
        <v>105</v>
      </c>
      <c r="I74" s="38" t="s">
        <v>86</v>
      </c>
      <c r="L74" s="105"/>
      <c r="M74" s="282">
        <f>+H74*B74</f>
        <v>0</v>
      </c>
      <c r="N74" s="302"/>
      <c r="O74" s="302"/>
      <c r="P74" s="302"/>
    </row>
    <row r="75" spans="1:16" x14ac:dyDescent="0.3">
      <c r="A75" s="458"/>
      <c r="B75" s="36"/>
      <c r="C75" s="36"/>
      <c r="D75" s="1"/>
      <c r="E75" s="75"/>
      <c r="F75" s="75"/>
      <c r="G75" s="45"/>
      <c r="H75" s="77"/>
      <c r="I75" s="38"/>
      <c r="J75" s="102"/>
      <c r="K75" s="102"/>
      <c r="L75" s="105"/>
      <c r="M75" s="282"/>
      <c r="N75" s="302"/>
      <c r="O75" s="302"/>
      <c r="P75" s="302"/>
    </row>
    <row r="76" spans="1:16" x14ac:dyDescent="0.3">
      <c r="A76" s="458"/>
      <c r="B76" s="52">
        <v>0</v>
      </c>
      <c r="C76" s="92" t="s">
        <v>128</v>
      </c>
      <c r="D76" s="74"/>
      <c r="E76" s="90" t="s">
        <v>157</v>
      </c>
      <c r="F76" s="211"/>
      <c r="G76" s="84" t="s">
        <v>158</v>
      </c>
      <c r="H76" s="402">
        <v>15.75</v>
      </c>
      <c r="I76" s="38" t="s">
        <v>83</v>
      </c>
      <c r="J76" s="102"/>
      <c r="K76" s="102"/>
      <c r="L76" s="100"/>
      <c r="M76" s="282"/>
      <c r="N76" s="302"/>
      <c r="O76" s="302">
        <f>IF(B76&gt;0,Lookups!$B$69,0)</f>
        <v>0</v>
      </c>
      <c r="P76" s="302">
        <f>B76*H76</f>
        <v>0</v>
      </c>
    </row>
    <row r="77" spans="1:16" x14ac:dyDescent="0.3">
      <c r="A77" s="458"/>
      <c r="B77" s="52">
        <v>0</v>
      </c>
      <c r="C77" s="92" t="s">
        <v>128</v>
      </c>
      <c r="D77" s="74"/>
      <c r="E77" s="90" t="s">
        <v>159</v>
      </c>
      <c r="F77" s="86"/>
      <c r="G77" s="84" t="s">
        <v>160</v>
      </c>
      <c r="H77" s="402">
        <v>21</v>
      </c>
      <c r="I77" s="38" t="s">
        <v>83</v>
      </c>
      <c r="J77" s="102"/>
      <c r="K77" s="102"/>
      <c r="L77" s="100"/>
      <c r="M77" s="282"/>
      <c r="N77" s="302"/>
      <c r="O77" s="302">
        <f>IF(B77&gt;0,Lookups!$B$69,0)</f>
        <v>0</v>
      </c>
      <c r="P77" s="302">
        <f>B77*H77</f>
        <v>0</v>
      </c>
    </row>
    <row r="78" spans="1:16" x14ac:dyDescent="0.3">
      <c r="A78" s="458"/>
      <c r="B78" s="52">
        <v>0</v>
      </c>
      <c r="C78" s="92" t="s">
        <v>128</v>
      </c>
      <c r="D78" s="74"/>
      <c r="E78" s="90" t="s">
        <v>161</v>
      </c>
      <c r="F78" s="86"/>
      <c r="G78" s="84" t="s">
        <v>162</v>
      </c>
      <c r="H78" s="402">
        <v>31.5</v>
      </c>
      <c r="I78" s="38" t="s">
        <v>83</v>
      </c>
      <c r="J78" s="102"/>
      <c r="K78" s="102"/>
      <c r="L78" s="100"/>
      <c r="M78" s="282"/>
      <c r="N78" s="302"/>
      <c r="O78" s="302">
        <f>IF(B78&gt;0,Lookups!$B$69,0)</f>
        <v>0</v>
      </c>
      <c r="P78" s="302">
        <f>B78*H78</f>
        <v>0</v>
      </c>
    </row>
    <row r="79" spans="1:16" s="80" customFormat="1" x14ac:dyDescent="0.3">
      <c r="A79" s="458"/>
      <c r="B79" s="70">
        <v>0</v>
      </c>
      <c r="C79" s="92" t="s">
        <v>128</v>
      </c>
      <c r="D79" s="74"/>
      <c r="E79" s="90" t="s">
        <v>163</v>
      </c>
      <c r="F79" s="86"/>
      <c r="G79" s="84" t="s">
        <v>164</v>
      </c>
      <c r="H79" s="402">
        <v>26.25</v>
      </c>
      <c r="I79" s="99" t="s">
        <v>83</v>
      </c>
      <c r="J79" s="387"/>
      <c r="K79" s="387"/>
      <c r="L79" s="388"/>
      <c r="M79" s="285"/>
      <c r="N79" s="303"/>
      <c r="O79" s="303">
        <f>IF(B79&gt;0,Lookups!$B$69,0)</f>
        <v>0</v>
      </c>
      <c r="P79" s="303">
        <f t="shared" ref="P79:P80" si="1">B79*H79</f>
        <v>0</v>
      </c>
    </row>
    <row r="80" spans="1:16" s="80" customFormat="1" x14ac:dyDescent="0.3">
      <c r="A80" s="458"/>
      <c r="B80" s="70">
        <v>0</v>
      </c>
      <c r="C80" s="92" t="s">
        <v>128</v>
      </c>
      <c r="D80" s="74"/>
      <c r="E80" s="90" t="s">
        <v>165</v>
      </c>
      <c r="F80" s="86"/>
      <c r="G80" s="84" t="s">
        <v>166</v>
      </c>
      <c r="H80" s="402">
        <v>35</v>
      </c>
      <c r="I80" s="99" t="s">
        <v>83</v>
      </c>
      <c r="J80" s="387"/>
      <c r="K80" s="387"/>
      <c r="L80" s="388"/>
      <c r="M80" s="285"/>
      <c r="N80" s="303"/>
      <c r="O80" s="303">
        <f>IF(B80&gt;0,Lookups!$B$69,0)</f>
        <v>0</v>
      </c>
      <c r="P80" s="303">
        <f t="shared" si="1"/>
        <v>0</v>
      </c>
    </row>
    <row r="81" spans="1:16" s="80" customFormat="1" x14ac:dyDescent="0.3">
      <c r="A81" s="458"/>
      <c r="B81" s="424"/>
      <c r="C81" s="73"/>
      <c r="D81" s="74"/>
      <c r="E81" s="88"/>
      <c r="F81" s="88"/>
      <c r="G81" s="88"/>
      <c r="H81" s="124"/>
      <c r="I81" s="99"/>
      <c r="J81" s="387"/>
      <c r="K81" s="387"/>
      <c r="L81" s="388"/>
      <c r="M81" s="285"/>
      <c r="N81" s="303"/>
      <c r="O81" s="303"/>
      <c r="P81" s="303"/>
    </row>
    <row r="82" spans="1:16" s="80" customFormat="1" x14ac:dyDescent="0.3">
      <c r="A82" s="458"/>
      <c r="B82" s="70">
        <v>0</v>
      </c>
      <c r="C82" s="92" t="s">
        <v>128</v>
      </c>
      <c r="D82" s="74"/>
      <c r="E82" s="90" t="s">
        <v>167</v>
      </c>
      <c r="F82" s="86"/>
      <c r="G82" s="84" t="s">
        <v>168</v>
      </c>
      <c r="H82" s="402">
        <v>7.88</v>
      </c>
      <c r="I82" s="99" t="s">
        <v>83</v>
      </c>
      <c r="J82" s="387"/>
      <c r="K82" s="387"/>
      <c r="L82" s="388"/>
      <c r="M82" s="285"/>
      <c r="N82" s="303"/>
      <c r="O82" s="303"/>
      <c r="P82" s="303">
        <f t="shared" ref="P82" si="2">B82*H82</f>
        <v>0</v>
      </c>
    </row>
    <row r="83" spans="1:16" s="80" customFormat="1" x14ac:dyDescent="0.3">
      <c r="A83" s="458"/>
      <c r="B83" s="424"/>
      <c r="C83" s="73"/>
      <c r="D83" s="74"/>
      <c r="E83" s="88"/>
      <c r="F83" s="88"/>
      <c r="G83" s="88"/>
      <c r="H83" s="124"/>
      <c r="I83" s="99"/>
      <c r="J83" s="387"/>
      <c r="K83" s="387"/>
      <c r="L83" s="388"/>
      <c r="M83" s="285"/>
      <c r="N83" s="303"/>
      <c r="O83" s="303"/>
      <c r="P83" s="303"/>
    </row>
    <row r="84" spans="1:16" x14ac:dyDescent="0.3">
      <c r="A84" s="458"/>
      <c r="B84" s="52">
        <v>0</v>
      </c>
      <c r="C84" s="92" t="s">
        <v>128</v>
      </c>
      <c r="D84" s="74"/>
      <c r="E84" s="90" t="s">
        <v>169</v>
      </c>
      <c r="F84" s="86"/>
      <c r="G84" s="84" t="s">
        <v>170</v>
      </c>
      <c r="H84" s="402">
        <v>85</v>
      </c>
      <c r="I84" s="38" t="s">
        <v>75</v>
      </c>
      <c r="J84" s="102"/>
      <c r="K84" s="102"/>
      <c r="L84" s="94"/>
      <c r="M84" s="282"/>
      <c r="N84" s="302">
        <f>B84*H84</f>
        <v>0</v>
      </c>
      <c r="O84" s="302">
        <f>IF(B84&gt;0,Lookups!$B$71,0)</f>
        <v>0</v>
      </c>
      <c r="P84" s="302"/>
    </row>
    <row r="85" spans="1:16" x14ac:dyDescent="0.3">
      <c r="A85" s="458"/>
      <c r="B85" s="52">
        <v>0</v>
      </c>
      <c r="C85" s="92" t="s">
        <v>128</v>
      </c>
      <c r="D85" s="74"/>
      <c r="E85" s="90" t="s">
        <v>171</v>
      </c>
      <c r="F85" s="86"/>
      <c r="G85" s="84" t="s">
        <v>172</v>
      </c>
      <c r="H85" s="402">
        <v>165</v>
      </c>
      <c r="I85" s="38" t="s">
        <v>75</v>
      </c>
      <c r="J85" s="102"/>
      <c r="K85" s="102"/>
      <c r="L85" s="94"/>
      <c r="M85" s="282"/>
      <c r="N85" s="302">
        <f>B85*H85</f>
        <v>0</v>
      </c>
      <c r="O85" s="302">
        <f>IF(B85&gt;0,Lookups!$B$71,0)</f>
        <v>0</v>
      </c>
      <c r="P85" s="302"/>
    </row>
    <row r="86" spans="1:16" x14ac:dyDescent="0.3">
      <c r="A86" s="458"/>
      <c r="B86" s="73"/>
      <c r="C86" s="73"/>
      <c r="D86" s="74"/>
      <c r="E86" s="103" t="s">
        <v>173</v>
      </c>
      <c r="G86" s="64"/>
      <c r="H86" s="104"/>
      <c r="J86" s="102"/>
      <c r="K86" s="102"/>
      <c r="L86" s="105"/>
      <c r="M86" s="282"/>
      <c r="N86" s="302"/>
      <c r="O86" s="302"/>
      <c r="P86" s="302"/>
    </row>
    <row r="87" spans="1:16" ht="15" x14ac:dyDescent="0.3">
      <c r="A87" s="458"/>
      <c r="B87" s="73"/>
      <c r="C87" s="73"/>
      <c r="D87" s="74"/>
      <c r="E87" s="75" t="s">
        <v>174</v>
      </c>
      <c r="G87" s="64"/>
      <c r="H87" s="104"/>
      <c r="J87" s="102"/>
      <c r="K87" s="102"/>
      <c r="L87" s="105"/>
      <c r="M87" s="282"/>
      <c r="N87" s="302"/>
      <c r="O87" s="302"/>
      <c r="P87" s="302"/>
    </row>
    <row r="88" spans="1:16" x14ac:dyDescent="0.3">
      <c r="A88" s="458"/>
      <c r="B88" s="36"/>
      <c r="C88" s="36"/>
      <c r="D88" s="1"/>
      <c r="E88" s="75"/>
      <c r="F88" s="75"/>
      <c r="G88" s="45"/>
      <c r="H88" s="58"/>
      <c r="J88" s="102"/>
      <c r="K88" s="102"/>
      <c r="L88" s="105"/>
      <c r="M88" s="282"/>
      <c r="N88" s="302"/>
      <c r="O88" s="302"/>
      <c r="P88" s="302"/>
    </row>
    <row r="89" spans="1:16" x14ac:dyDescent="0.3">
      <c r="A89" s="458"/>
      <c r="B89" s="36"/>
      <c r="C89" s="36"/>
      <c r="D89" s="1"/>
      <c r="E89" s="75"/>
      <c r="F89" s="75"/>
      <c r="G89" s="45"/>
      <c r="H89" s="58"/>
      <c r="J89" s="102"/>
      <c r="K89" s="102"/>
      <c r="L89" s="105"/>
      <c r="M89" s="282"/>
      <c r="N89" s="302"/>
      <c r="O89" s="302"/>
      <c r="P89" s="302"/>
    </row>
    <row r="90" spans="1:16" ht="15" customHeight="1" x14ac:dyDescent="0.3">
      <c r="A90" s="458"/>
      <c r="B90" s="203"/>
      <c r="C90" s="204"/>
      <c r="D90" s="157" t="s">
        <v>175</v>
      </c>
      <c r="E90" s="47"/>
      <c r="F90" s="47"/>
      <c r="G90" s="47"/>
      <c r="H90" s="48"/>
      <c r="I90" s="49"/>
      <c r="J90" s="49"/>
      <c r="K90" s="49"/>
      <c r="L90" s="170"/>
      <c r="M90" s="280">
        <f>SUM(M91:M99)</f>
        <v>0</v>
      </c>
      <c r="N90" s="300">
        <f t="shared" ref="N90:P90" si="3">SUM(N91:N99)</f>
        <v>0</v>
      </c>
      <c r="O90" s="300">
        <f>SUM(O91:O99)</f>
        <v>0</v>
      </c>
      <c r="P90" s="300">
        <f t="shared" si="3"/>
        <v>0</v>
      </c>
    </row>
    <row r="91" spans="1:16" ht="15.6" x14ac:dyDescent="0.3">
      <c r="A91" s="458"/>
      <c r="B91" s="52">
        <v>0</v>
      </c>
      <c r="C91" s="92" t="s">
        <v>176</v>
      </c>
      <c r="D91" s="174"/>
      <c r="E91" s="90" t="s">
        <v>177</v>
      </c>
      <c r="F91" s="86"/>
      <c r="G91" s="86" t="s">
        <v>178</v>
      </c>
      <c r="H91" s="402">
        <v>10.5</v>
      </c>
      <c r="I91" s="77" t="s">
        <v>83</v>
      </c>
      <c r="J91" s="77"/>
      <c r="K91" s="77"/>
      <c r="L91" s="77"/>
      <c r="M91" s="290"/>
      <c r="N91" s="303"/>
      <c r="O91" s="303"/>
      <c r="P91" s="303">
        <f>+H91*B91</f>
        <v>0</v>
      </c>
    </row>
    <row r="92" spans="1:16" s="80" customFormat="1" ht="15.6" x14ac:dyDescent="0.3">
      <c r="A92" s="458"/>
      <c r="B92" s="52">
        <v>0</v>
      </c>
      <c r="C92" s="92" t="s">
        <v>176</v>
      </c>
      <c r="D92" s="174"/>
      <c r="E92" s="472" t="s">
        <v>179</v>
      </c>
      <c r="F92" s="473"/>
      <c r="G92" s="86" t="s">
        <v>180</v>
      </c>
      <c r="H92" s="402">
        <v>10.5</v>
      </c>
      <c r="I92" s="77" t="s">
        <v>83</v>
      </c>
      <c r="J92" s="77"/>
      <c r="K92" s="77"/>
      <c r="L92" s="77"/>
      <c r="M92" s="290"/>
      <c r="N92" s="303"/>
      <c r="O92" s="302">
        <f>IF(B92&gt;0,Lookups!$B$72,0)</f>
        <v>0</v>
      </c>
      <c r="P92" s="303">
        <f>+H92*B92</f>
        <v>0</v>
      </c>
    </row>
    <row r="93" spans="1:16" s="80" customFormat="1" ht="15.6" x14ac:dyDescent="0.3">
      <c r="A93" s="458"/>
      <c r="B93" s="52">
        <v>0</v>
      </c>
      <c r="C93" s="92" t="s">
        <v>176</v>
      </c>
      <c r="D93" s="174"/>
      <c r="E93" s="472" t="s">
        <v>181</v>
      </c>
      <c r="F93" s="473"/>
      <c r="G93" s="86" t="s">
        <v>182</v>
      </c>
      <c r="H93" s="402">
        <v>15.75</v>
      </c>
      <c r="I93" s="77" t="s">
        <v>83</v>
      </c>
      <c r="J93" s="77"/>
      <c r="K93" s="77"/>
      <c r="L93" s="77"/>
      <c r="M93" s="290"/>
      <c r="N93" s="303"/>
      <c r="O93" s="302">
        <f>IF(B93&gt;0,Lookups!$B$72,0)</f>
        <v>0</v>
      </c>
      <c r="P93" s="303">
        <f>+H93*B93</f>
        <v>0</v>
      </c>
    </row>
    <row r="94" spans="1:16" s="80" customFormat="1" x14ac:dyDescent="0.3">
      <c r="A94" s="458"/>
      <c r="B94" s="52">
        <v>0</v>
      </c>
      <c r="C94" s="92" t="s">
        <v>176</v>
      </c>
      <c r="D94" s="74"/>
      <c r="E94" s="90" t="s">
        <v>183</v>
      </c>
      <c r="F94" s="67"/>
      <c r="G94" s="86" t="s">
        <v>184</v>
      </c>
      <c r="H94" s="402">
        <v>87.5</v>
      </c>
      <c r="I94" s="77" t="s">
        <v>86</v>
      </c>
      <c r="J94" s="74"/>
      <c r="K94" s="74"/>
      <c r="L94" s="113"/>
      <c r="M94" s="285">
        <f>+H94*B94</f>
        <v>0</v>
      </c>
      <c r="N94" s="303"/>
      <c r="O94" s="317"/>
      <c r="P94" s="317"/>
    </row>
    <row r="95" spans="1:16" s="80" customFormat="1" x14ac:dyDescent="0.3">
      <c r="A95" s="458"/>
      <c r="B95" s="52">
        <v>0</v>
      </c>
      <c r="C95" s="92" t="s">
        <v>176</v>
      </c>
      <c r="D95" s="74"/>
      <c r="E95" s="90" t="s">
        <v>185</v>
      </c>
      <c r="F95" s="67"/>
      <c r="G95" s="86" t="s">
        <v>186</v>
      </c>
      <c r="H95" s="402">
        <v>225</v>
      </c>
      <c r="I95" s="77" t="s">
        <v>86</v>
      </c>
      <c r="J95" s="74"/>
      <c r="K95" s="74"/>
      <c r="L95" s="113"/>
      <c r="M95" s="285">
        <f>+H95*B95</f>
        <v>0</v>
      </c>
      <c r="N95" s="303"/>
      <c r="O95" s="317"/>
      <c r="P95" s="317"/>
    </row>
    <row r="96" spans="1:16" s="80" customFormat="1" ht="15" customHeight="1" x14ac:dyDescent="0.3">
      <c r="A96" s="458"/>
      <c r="B96" s="52">
        <v>0</v>
      </c>
      <c r="C96" s="53" t="s">
        <v>187</v>
      </c>
      <c r="D96" s="1"/>
      <c r="E96" s="474" t="s">
        <v>188</v>
      </c>
      <c r="F96" s="475"/>
      <c r="G96" s="138"/>
      <c r="H96" s="402">
        <v>225</v>
      </c>
      <c r="I96" s="77" t="s">
        <v>86</v>
      </c>
      <c r="J96" s="1"/>
      <c r="K96" s="1"/>
      <c r="L96" s="37"/>
      <c r="M96" s="282">
        <f>+H96*B96</f>
        <v>0</v>
      </c>
      <c r="N96" s="302"/>
      <c r="O96" s="302"/>
      <c r="P96" s="302"/>
    </row>
    <row r="97" spans="1:16" ht="15" customHeight="1" x14ac:dyDescent="0.3">
      <c r="A97" s="458"/>
      <c r="C97" s="36"/>
      <c r="D97" s="1"/>
      <c r="E97" s="74" t="s">
        <v>189</v>
      </c>
      <c r="F97" s="122"/>
      <c r="H97" s="1"/>
      <c r="I97" s="74"/>
      <c r="J97" s="1"/>
      <c r="K97" s="1"/>
      <c r="L97" s="37"/>
      <c r="M97" s="282"/>
      <c r="N97" s="302"/>
      <c r="O97" s="302"/>
      <c r="P97" s="302"/>
    </row>
    <row r="98" spans="1:16" ht="15" customHeight="1" x14ac:dyDescent="0.3">
      <c r="A98" s="458"/>
      <c r="C98" s="36"/>
      <c r="D98" s="1"/>
      <c r="E98" s="1"/>
      <c r="F98" s="122"/>
      <c r="H98" s="1"/>
      <c r="I98" s="74"/>
      <c r="J98" s="1"/>
      <c r="K98" s="1"/>
      <c r="L98" s="37"/>
      <c r="M98" s="282"/>
      <c r="N98" s="302"/>
      <c r="O98" s="302"/>
      <c r="P98" s="302"/>
    </row>
    <row r="99" spans="1:16" ht="23.4" x14ac:dyDescent="0.3">
      <c r="A99" s="476"/>
      <c r="B99" s="160"/>
      <c r="C99" s="160"/>
      <c r="D99" s="158" t="s">
        <v>62</v>
      </c>
      <c r="E99" s="168"/>
      <c r="F99" s="158"/>
      <c r="G99" s="169"/>
      <c r="H99" s="168"/>
      <c r="I99" s="174"/>
      <c r="J99" s="174"/>
      <c r="K99" s="174"/>
      <c r="L99" s="168"/>
      <c r="M99" s="291"/>
      <c r="N99" s="309"/>
      <c r="O99" s="309"/>
      <c r="P99" s="309"/>
    </row>
    <row r="100" spans="1:16" s="89" customFormat="1" ht="15.6" x14ac:dyDescent="0.3">
      <c r="A100" s="476"/>
      <c r="B100" s="203"/>
      <c r="C100" s="204"/>
      <c r="D100" s="157" t="s">
        <v>190</v>
      </c>
      <c r="E100" s="47"/>
      <c r="F100" s="47"/>
      <c r="G100" s="47"/>
      <c r="H100" s="48"/>
      <c r="I100" s="49"/>
      <c r="J100" s="49"/>
      <c r="K100" s="49"/>
      <c r="L100" s="170"/>
      <c r="M100" s="280">
        <f>SUM(M101:M107)</f>
        <v>0</v>
      </c>
      <c r="N100" s="300">
        <f>SUM(N101:N107)</f>
        <v>0</v>
      </c>
      <c r="O100" s="300">
        <f>SUM(O101:O107)</f>
        <v>0</v>
      </c>
      <c r="P100" s="300">
        <f>SUM(P101:P107)</f>
        <v>0</v>
      </c>
    </row>
    <row r="101" spans="1:16" s="89" customFormat="1" x14ac:dyDescent="0.3">
      <c r="A101" s="476"/>
      <c r="B101" s="192" t="s">
        <v>191</v>
      </c>
      <c r="C101" s="190"/>
      <c r="D101" s="66"/>
      <c r="E101" s="81"/>
      <c r="F101" s="81"/>
      <c r="G101" s="101"/>
      <c r="H101" s="194" t="s">
        <v>99</v>
      </c>
      <c r="I101" s="194" t="s">
        <v>101</v>
      </c>
      <c r="J101" s="208"/>
      <c r="K101" s="208"/>
      <c r="L101" s="63"/>
      <c r="M101" s="284"/>
      <c r="N101" s="304"/>
      <c r="O101" s="29"/>
      <c r="P101" s="29"/>
    </row>
    <row r="102" spans="1:16" s="89" customFormat="1" x14ac:dyDescent="0.3">
      <c r="A102" s="476"/>
      <c r="B102" s="52">
        <v>0</v>
      </c>
      <c r="C102" s="70" t="s">
        <v>99</v>
      </c>
      <c r="D102" s="1"/>
      <c r="E102" s="222" t="s">
        <v>192</v>
      </c>
      <c r="F102" s="126"/>
      <c r="G102" s="59" t="str">
        <f>IF($C102=$H$101,"COM-4946","COM-4947")</f>
        <v>COM-4946</v>
      </c>
      <c r="H102" s="401">
        <v>3.95</v>
      </c>
      <c r="I102" s="366">
        <v>4.2</v>
      </c>
      <c r="J102" s="58" t="s">
        <v>83</v>
      </c>
      <c r="K102" s="58"/>
      <c r="L102" s="209"/>
      <c r="M102" s="284"/>
      <c r="N102" s="304"/>
      <c r="O102" s="304"/>
      <c r="P102" s="304">
        <f>IF(C102=H101,$B102*H102,IF(C102=I101,$B102*I102,0))</f>
        <v>0</v>
      </c>
    </row>
    <row r="103" spans="1:16" s="191" customFormat="1" x14ac:dyDescent="0.3">
      <c r="A103" s="476"/>
      <c r="B103" s="36">
        <f>IF(B102&gt;0,1,0)</f>
        <v>0</v>
      </c>
      <c r="C103" s="53" t="s">
        <v>176</v>
      </c>
      <c r="D103" s="193"/>
      <c r="E103" s="222" t="s">
        <v>193</v>
      </c>
      <c r="F103" s="126"/>
      <c r="G103" s="55" t="s">
        <v>194</v>
      </c>
      <c r="H103" s="401">
        <v>87.5</v>
      </c>
      <c r="I103" s="401">
        <v>87.5</v>
      </c>
      <c r="J103" s="58" t="s">
        <v>86</v>
      </c>
      <c r="K103" s="58"/>
      <c r="L103" s="196"/>
      <c r="M103" s="284">
        <f>B103*H103</f>
        <v>0</v>
      </c>
      <c r="N103" s="310"/>
      <c r="O103" s="318"/>
      <c r="P103" s="318"/>
    </row>
    <row r="104" spans="1:16" x14ac:dyDescent="0.3">
      <c r="A104" s="476"/>
      <c r="C104"/>
      <c r="E104" s="75" t="s">
        <v>195</v>
      </c>
      <c r="F104" s="202"/>
      <c r="G104" s="202"/>
      <c r="H104" s="202"/>
      <c r="I104" s="202"/>
      <c r="J104" s="62"/>
      <c r="K104" s="62"/>
      <c r="L104" s="63"/>
      <c r="M104" s="284"/>
      <c r="N104" s="304"/>
      <c r="O104" s="29"/>
      <c r="P104" s="29"/>
    </row>
    <row r="105" spans="1:16" x14ac:dyDescent="0.3">
      <c r="A105" s="476"/>
      <c r="C105"/>
      <c r="E105" s="75" t="s">
        <v>196</v>
      </c>
      <c r="F105" s="202"/>
      <c r="G105" s="202"/>
      <c r="H105" s="202"/>
      <c r="I105" s="202"/>
      <c r="J105" s="62"/>
      <c r="K105" s="62"/>
      <c r="L105" s="63"/>
      <c r="M105" s="284"/>
      <c r="N105" s="304"/>
      <c r="O105" s="29"/>
      <c r="P105" s="29"/>
    </row>
    <row r="106" spans="1:16" x14ac:dyDescent="0.3">
      <c r="A106" s="476"/>
      <c r="C106"/>
      <c r="E106" s="75" t="s">
        <v>197</v>
      </c>
      <c r="F106" s="202"/>
      <c r="G106" s="202"/>
      <c r="H106" s="202"/>
      <c r="I106" s="202"/>
      <c r="J106" s="62"/>
      <c r="K106" s="62"/>
      <c r="L106" s="63"/>
      <c r="M106" s="284"/>
      <c r="N106" s="304"/>
      <c r="O106" s="29"/>
      <c r="P106" s="29"/>
    </row>
    <row r="107" spans="1:16" ht="15" customHeight="1" x14ac:dyDescent="0.3">
      <c r="A107" s="476"/>
      <c r="B107" s="36"/>
      <c r="C107" s="36"/>
      <c r="D107" s="1"/>
      <c r="E107" s="45"/>
      <c r="F107" s="108"/>
      <c r="G107" s="45"/>
      <c r="H107" s="58"/>
      <c r="I107" s="80"/>
      <c r="J107" s="102"/>
      <c r="K107" s="102"/>
      <c r="L107" s="105"/>
      <c r="M107" s="282"/>
      <c r="N107" s="302"/>
      <c r="O107" s="302"/>
      <c r="P107" s="302"/>
    </row>
    <row r="108" spans="1:16" ht="15.6" x14ac:dyDescent="0.3">
      <c r="A108" s="476"/>
      <c r="B108" s="203"/>
      <c r="C108" s="204"/>
      <c r="D108" s="157" t="s">
        <v>198</v>
      </c>
      <c r="E108" s="47"/>
      <c r="F108" s="47"/>
      <c r="G108" s="47"/>
      <c r="H108" s="48" t="s">
        <v>83</v>
      </c>
      <c r="I108" s="48" t="s">
        <v>93</v>
      </c>
      <c r="J108" s="49"/>
      <c r="K108" s="49"/>
      <c r="L108" s="170"/>
      <c r="M108" s="280">
        <f>SUM(M109:M144)</f>
        <v>0</v>
      </c>
      <c r="N108" s="300">
        <f>SUM(N109:N144)</f>
        <v>0</v>
      </c>
      <c r="O108" s="300">
        <f>SUM(O109:O144)</f>
        <v>0</v>
      </c>
      <c r="P108" s="300">
        <f>SUM(P109:P144)</f>
        <v>0</v>
      </c>
    </row>
    <row r="109" spans="1:16" s="80" customFormat="1" ht="15" customHeight="1" x14ac:dyDescent="0.3">
      <c r="A109" s="476"/>
      <c r="B109" s="162"/>
      <c r="C109" s="162"/>
      <c r="D109" s="159" t="s">
        <v>199</v>
      </c>
      <c r="E109" s="159"/>
      <c r="F109" s="110"/>
      <c r="G109" s="110"/>
      <c r="H109" s="111"/>
      <c r="I109" s="177"/>
      <c r="J109" s="112"/>
      <c r="K109" s="112"/>
      <c r="L109" s="171"/>
      <c r="M109" s="281"/>
      <c r="N109" s="301"/>
      <c r="O109" s="301"/>
      <c r="P109" s="301"/>
    </row>
    <row r="110" spans="1:16" ht="15" customHeight="1" x14ac:dyDescent="0.3">
      <c r="A110" s="476"/>
      <c r="B110" s="52">
        <v>0</v>
      </c>
      <c r="C110" s="92" t="s">
        <v>128</v>
      </c>
      <c r="D110" s="1"/>
      <c r="E110" s="84" t="s">
        <v>200</v>
      </c>
      <c r="F110" s="114"/>
      <c r="G110" s="87" t="s">
        <v>201</v>
      </c>
      <c r="H110" s="72">
        <v>31.5</v>
      </c>
      <c r="I110" s="77" t="s">
        <v>83</v>
      </c>
      <c r="L110" s="97"/>
      <c r="M110" s="278"/>
      <c r="N110" s="29"/>
      <c r="O110" s="302">
        <f>IF(B110&gt;0,Lookups!$B$70,0)</f>
        <v>0</v>
      </c>
      <c r="P110" s="302">
        <f t="shared" ref="P110:P118" si="4">B110*H110</f>
        <v>0</v>
      </c>
    </row>
    <row r="111" spans="1:16" ht="15" customHeight="1" x14ac:dyDescent="0.3">
      <c r="A111" s="476"/>
      <c r="B111" s="52">
        <v>0</v>
      </c>
      <c r="C111" s="92" t="s">
        <v>128</v>
      </c>
      <c r="D111" s="1"/>
      <c r="E111" s="126" t="s">
        <v>202</v>
      </c>
      <c r="F111" s="395"/>
      <c r="G111" s="59" t="s">
        <v>203</v>
      </c>
      <c r="H111" s="72">
        <v>68.25</v>
      </c>
      <c r="I111" s="77" t="s">
        <v>83</v>
      </c>
      <c r="L111" s="97"/>
      <c r="M111" s="278"/>
      <c r="N111" s="29"/>
      <c r="O111" s="302">
        <f>IF(B111&gt;0,Lookups!$B$70,0)</f>
        <v>0</v>
      </c>
      <c r="P111" s="302">
        <f t="shared" si="4"/>
        <v>0</v>
      </c>
    </row>
    <row r="112" spans="1:16" ht="15" customHeight="1" x14ac:dyDescent="0.3">
      <c r="A112" s="476"/>
      <c r="B112" s="52">
        <v>0</v>
      </c>
      <c r="C112" s="92" t="s">
        <v>128</v>
      </c>
      <c r="D112" s="1"/>
      <c r="E112" s="126" t="s">
        <v>204</v>
      </c>
      <c r="F112" s="395"/>
      <c r="G112" s="59" t="s">
        <v>205</v>
      </c>
      <c r="H112" s="72">
        <v>78.75</v>
      </c>
      <c r="I112" s="77" t="s">
        <v>83</v>
      </c>
      <c r="L112" s="97"/>
      <c r="M112" s="278"/>
      <c r="N112" s="29"/>
      <c r="O112" s="302">
        <f>IF(B112&gt;0,Lookups!$B$70,0)</f>
        <v>0</v>
      </c>
      <c r="P112" s="302">
        <f t="shared" ref="P112:P113" si="5">B112*H112</f>
        <v>0</v>
      </c>
    </row>
    <row r="113" spans="1:16" ht="15" customHeight="1" x14ac:dyDescent="0.3">
      <c r="A113" s="476"/>
      <c r="B113" s="52">
        <v>0</v>
      </c>
      <c r="C113" s="92" t="s">
        <v>128</v>
      </c>
      <c r="D113" s="1"/>
      <c r="E113" s="126" t="s">
        <v>206</v>
      </c>
      <c r="F113" s="395"/>
      <c r="G113" s="59" t="s">
        <v>207</v>
      </c>
      <c r="H113" s="72">
        <v>94.5</v>
      </c>
      <c r="I113" s="77" t="s">
        <v>83</v>
      </c>
      <c r="L113" s="97"/>
      <c r="M113" s="278"/>
      <c r="N113" s="29"/>
      <c r="O113" s="302">
        <f>IF(B113&gt;0,Lookups!$B$70,0)</f>
        <v>0</v>
      </c>
      <c r="P113" s="302">
        <f t="shared" si="5"/>
        <v>0</v>
      </c>
    </row>
    <row r="114" spans="1:16" ht="15" customHeight="1" x14ac:dyDescent="0.3">
      <c r="A114" s="476"/>
      <c r="B114" s="52">
        <v>0</v>
      </c>
      <c r="C114" s="92" t="s">
        <v>128</v>
      </c>
      <c r="D114" s="1"/>
      <c r="E114" s="126" t="s">
        <v>208</v>
      </c>
      <c r="F114" s="395"/>
      <c r="G114" s="59" t="s">
        <v>209</v>
      </c>
      <c r="H114" s="72">
        <v>105</v>
      </c>
      <c r="I114" s="77" t="s">
        <v>83</v>
      </c>
      <c r="L114" s="97"/>
      <c r="M114" s="278"/>
      <c r="N114" s="29"/>
      <c r="O114" s="302">
        <f>IF(B114&gt;0,Lookups!$B$70,0)</f>
        <v>0</v>
      </c>
      <c r="P114" s="302">
        <f t="shared" ref="P114" si="6">B114*H114</f>
        <v>0</v>
      </c>
    </row>
    <row r="115" spans="1:16" x14ac:dyDescent="0.3">
      <c r="A115" s="476"/>
      <c r="B115" s="52">
        <v>0</v>
      </c>
      <c r="C115" s="92" t="s">
        <v>128</v>
      </c>
      <c r="D115" s="1"/>
      <c r="E115" s="126" t="s">
        <v>210</v>
      </c>
      <c r="F115" s="115"/>
      <c r="G115" s="87" t="s">
        <v>211</v>
      </c>
      <c r="H115" s="72">
        <v>72</v>
      </c>
      <c r="I115" s="77" t="s">
        <v>83</v>
      </c>
      <c r="L115" s="97"/>
      <c r="M115" s="278"/>
      <c r="N115" s="29"/>
      <c r="O115" s="302">
        <f>IF(B115&gt;0,Lookups!$B$70,0)</f>
        <v>0</v>
      </c>
      <c r="P115" s="302">
        <f t="shared" si="4"/>
        <v>0</v>
      </c>
    </row>
    <row r="116" spans="1:16" ht="15" customHeight="1" x14ac:dyDescent="0.3">
      <c r="A116" s="476"/>
      <c r="B116" s="52">
        <v>0</v>
      </c>
      <c r="C116" s="92" t="s">
        <v>128</v>
      </c>
      <c r="D116" s="1"/>
      <c r="E116" s="54" t="s">
        <v>212</v>
      </c>
      <c r="F116" s="107"/>
      <c r="G116" s="59" t="s">
        <v>213</v>
      </c>
      <c r="H116" s="72">
        <v>81</v>
      </c>
      <c r="I116" s="77" t="s">
        <v>83</v>
      </c>
      <c r="L116" s="97"/>
      <c r="M116" s="278"/>
      <c r="N116" s="29"/>
      <c r="O116" s="302">
        <f>IF(B116&gt;0,Lookups!$B$70,0)</f>
        <v>0</v>
      </c>
      <c r="P116" s="302">
        <f t="shared" si="4"/>
        <v>0</v>
      </c>
    </row>
    <row r="117" spans="1:16" ht="15" customHeight="1" x14ac:dyDescent="0.3">
      <c r="A117" s="476"/>
      <c r="B117" s="52">
        <v>0</v>
      </c>
      <c r="C117" s="92" t="s">
        <v>128</v>
      </c>
      <c r="D117" s="1"/>
      <c r="E117" s="54" t="s">
        <v>214</v>
      </c>
      <c r="F117" s="150"/>
      <c r="G117" s="87" t="s">
        <v>215</v>
      </c>
      <c r="H117" s="72">
        <v>113</v>
      </c>
      <c r="I117" s="77" t="s">
        <v>83</v>
      </c>
      <c r="L117" s="172"/>
      <c r="M117" s="278"/>
      <c r="N117" s="29"/>
      <c r="O117" s="302">
        <f>IF(B117&gt;0,Lookups!$B$70,0)</f>
        <v>0</v>
      </c>
      <c r="P117" s="304">
        <f t="shared" si="4"/>
        <v>0</v>
      </c>
    </row>
    <row r="118" spans="1:16" ht="15" customHeight="1" x14ac:dyDescent="0.3">
      <c r="A118" s="476"/>
      <c r="B118" s="52">
        <v>0</v>
      </c>
      <c r="C118" s="92" t="s">
        <v>128</v>
      </c>
      <c r="D118" s="1"/>
      <c r="E118" s="54" t="s">
        <v>216</v>
      </c>
      <c r="F118" s="150"/>
      <c r="G118" s="87" t="s">
        <v>217</v>
      </c>
      <c r="H118" s="72">
        <v>134</v>
      </c>
      <c r="I118" s="77" t="s">
        <v>83</v>
      </c>
      <c r="L118" s="172"/>
      <c r="M118" s="278"/>
      <c r="N118" s="29"/>
      <c r="O118" s="302">
        <f>IF(B118&gt;0,Lookups!$B$70,0)</f>
        <v>0</v>
      </c>
      <c r="P118" s="304">
        <f t="shared" si="4"/>
        <v>0</v>
      </c>
    </row>
    <row r="119" spans="1:16" ht="15" customHeight="1" x14ac:dyDescent="0.3">
      <c r="A119" s="476"/>
      <c r="B119" s="162"/>
      <c r="C119" s="162"/>
      <c r="D119" s="159" t="s">
        <v>218</v>
      </c>
      <c r="E119" s="159"/>
      <c r="F119" s="110"/>
      <c r="G119" s="110"/>
      <c r="H119" s="330"/>
      <c r="I119" s="177"/>
      <c r="J119" s="112"/>
      <c r="K119" s="112"/>
      <c r="L119" s="171"/>
      <c r="M119" s="281"/>
      <c r="N119" s="301"/>
      <c r="O119" s="301"/>
      <c r="P119" s="301"/>
    </row>
    <row r="120" spans="1:16" ht="15" customHeight="1" x14ac:dyDescent="0.3">
      <c r="A120" s="476"/>
      <c r="B120" s="52">
        <v>0</v>
      </c>
      <c r="C120" s="92" t="s">
        <v>128</v>
      </c>
      <c r="D120" s="1"/>
      <c r="E120" s="485" t="s">
        <v>219</v>
      </c>
      <c r="F120" s="486"/>
      <c r="G120" s="87" t="s">
        <v>220</v>
      </c>
      <c r="H120" s="72">
        <v>23</v>
      </c>
      <c r="I120" s="77" t="s">
        <v>83</v>
      </c>
      <c r="L120" s="97"/>
      <c r="M120" s="278"/>
      <c r="N120" s="29"/>
      <c r="O120" s="302">
        <f>IF(B120&gt;0,Lookups!$B$70,0)</f>
        <v>0</v>
      </c>
      <c r="P120" s="302">
        <f>B120*H120</f>
        <v>0</v>
      </c>
    </row>
    <row r="121" spans="1:16" x14ac:dyDescent="0.3">
      <c r="A121" s="476"/>
      <c r="B121" s="52">
        <v>0</v>
      </c>
      <c r="C121" s="92" t="s">
        <v>128</v>
      </c>
      <c r="D121" s="1"/>
      <c r="E121" s="54" t="s">
        <v>221</v>
      </c>
      <c r="F121" s="107"/>
      <c r="G121" s="87" t="s">
        <v>222</v>
      </c>
      <c r="H121" s="72">
        <v>36.75</v>
      </c>
      <c r="I121" s="77" t="s">
        <v>83</v>
      </c>
      <c r="L121" s="97"/>
      <c r="M121" s="278"/>
      <c r="N121" s="29"/>
      <c r="O121" s="302">
        <f>IF(B121&gt;0,Lookups!$B$70,0)</f>
        <v>0</v>
      </c>
      <c r="P121" s="302">
        <f>B121*H121</f>
        <v>0</v>
      </c>
    </row>
    <row r="122" spans="1:16" x14ac:dyDescent="0.3">
      <c r="A122" s="476"/>
      <c r="B122" s="52">
        <v>0</v>
      </c>
      <c r="C122" s="92" t="s">
        <v>128</v>
      </c>
      <c r="D122" s="74"/>
      <c r="E122" s="54" t="s">
        <v>223</v>
      </c>
      <c r="F122" s="107"/>
      <c r="G122" s="87" t="s">
        <v>224</v>
      </c>
      <c r="H122" s="72">
        <v>63</v>
      </c>
      <c r="I122" s="77" t="s">
        <v>83</v>
      </c>
      <c r="J122" s="80"/>
      <c r="K122" s="80"/>
      <c r="L122" s="219"/>
      <c r="M122" s="292"/>
      <c r="N122" s="311"/>
      <c r="O122" s="302">
        <f>IF(B122&gt;0,Lookups!$B$70,0)</f>
        <v>0</v>
      </c>
      <c r="P122" s="303">
        <f>B122*H122</f>
        <v>0</v>
      </c>
    </row>
    <row r="123" spans="1:16" ht="15" customHeight="1" x14ac:dyDescent="0.3">
      <c r="A123" s="476"/>
      <c r="B123" s="52">
        <v>0</v>
      </c>
      <c r="C123" s="92" t="s">
        <v>128</v>
      </c>
      <c r="D123" s="1"/>
      <c r="E123" s="54" t="s">
        <v>225</v>
      </c>
      <c r="F123" s="107"/>
      <c r="G123" s="59" t="s">
        <v>226</v>
      </c>
      <c r="H123" s="72">
        <v>89.25</v>
      </c>
      <c r="I123" s="77" t="s">
        <v>83</v>
      </c>
      <c r="L123" s="97"/>
      <c r="M123" s="278"/>
      <c r="N123" s="29"/>
      <c r="O123" s="302">
        <f>IF(B123&gt;0,Lookups!$B$70,0)</f>
        <v>0</v>
      </c>
      <c r="P123" s="302">
        <f>B123*H123</f>
        <v>0</v>
      </c>
    </row>
    <row r="124" spans="1:16" ht="15" customHeight="1" x14ac:dyDescent="0.3">
      <c r="A124" s="476"/>
      <c r="B124" s="393"/>
      <c r="C124" s="73"/>
      <c r="D124" s="1"/>
      <c r="E124" s="64"/>
      <c r="F124" s="423"/>
      <c r="G124" s="45"/>
      <c r="H124" s="77"/>
      <c r="I124" s="390"/>
      <c r="L124" s="97"/>
      <c r="M124" s="278"/>
      <c r="N124" s="29"/>
      <c r="O124" s="302"/>
      <c r="P124" s="302"/>
    </row>
    <row r="125" spans="1:16" ht="15" customHeight="1" x14ac:dyDescent="0.3">
      <c r="A125" s="476"/>
      <c r="B125" s="52">
        <v>0</v>
      </c>
      <c r="C125" s="92" t="s">
        <v>128</v>
      </c>
      <c r="D125" s="1"/>
      <c r="E125" s="54" t="s">
        <v>227</v>
      </c>
      <c r="F125" s="107"/>
      <c r="G125" s="59" t="s">
        <v>228</v>
      </c>
      <c r="H125" s="72">
        <v>21</v>
      </c>
      <c r="I125" s="390" t="s">
        <v>83</v>
      </c>
      <c r="L125" s="97"/>
      <c r="M125" s="278"/>
      <c r="N125" s="29"/>
      <c r="O125" s="302"/>
      <c r="P125" s="302">
        <f>B125*H125</f>
        <v>0</v>
      </c>
    </row>
    <row r="126" spans="1:16" ht="15" customHeight="1" x14ac:dyDescent="0.3">
      <c r="A126" s="476"/>
      <c r="B126" s="393"/>
      <c r="C126" s="73"/>
      <c r="D126" s="1"/>
      <c r="E126" s="64"/>
      <c r="F126" s="423"/>
      <c r="G126" s="45"/>
      <c r="H126" s="77"/>
      <c r="I126" s="390"/>
      <c r="L126" s="97"/>
      <c r="M126" s="278"/>
      <c r="N126" s="29"/>
      <c r="O126" s="302"/>
      <c r="P126" s="302"/>
    </row>
    <row r="127" spans="1:16" ht="15" customHeight="1" x14ac:dyDescent="0.3">
      <c r="A127" s="476"/>
      <c r="B127" s="162"/>
      <c r="C127" s="162"/>
      <c r="D127" s="159" t="s">
        <v>229</v>
      </c>
      <c r="E127" s="159"/>
      <c r="F127" s="110"/>
      <c r="G127" s="110"/>
      <c r="H127" s="110"/>
      <c r="I127" s="177"/>
      <c r="J127" s="112"/>
      <c r="K127" s="112"/>
      <c r="L127" s="171"/>
      <c r="M127" s="281"/>
      <c r="N127" s="301"/>
      <c r="O127" s="301"/>
      <c r="P127" s="301"/>
    </row>
    <row r="128" spans="1:16" ht="15" customHeight="1" x14ac:dyDescent="0.3">
      <c r="A128" s="476"/>
      <c r="B128" s="73">
        <f>SUM(B110:B125)</f>
        <v>0</v>
      </c>
      <c r="C128" s="92" t="s">
        <v>128</v>
      </c>
      <c r="E128" s="90" t="s">
        <v>230</v>
      </c>
      <c r="F128" s="107"/>
      <c r="G128" s="59" t="s">
        <v>231</v>
      </c>
      <c r="H128" s="72">
        <v>52.5</v>
      </c>
      <c r="I128" s="77" t="s">
        <v>86</v>
      </c>
      <c r="J128" s="51"/>
      <c r="K128" s="51"/>
      <c r="L128"/>
      <c r="M128" s="282">
        <f>B128*H128</f>
        <v>0</v>
      </c>
      <c r="N128" s="29"/>
      <c r="O128" s="29"/>
      <c r="P128" s="29"/>
    </row>
    <row r="129" spans="1:16" x14ac:dyDescent="0.3">
      <c r="A129" s="476"/>
      <c r="C129" s="36"/>
      <c r="D129" s="1"/>
      <c r="E129" s="141" t="s">
        <v>232</v>
      </c>
      <c r="F129" s="81"/>
      <c r="G129" s="64"/>
      <c r="H129" s="104"/>
      <c r="J129" s="1"/>
      <c r="K129" s="1"/>
      <c r="L129" s="62"/>
      <c r="M129" s="284"/>
      <c r="N129" s="304"/>
      <c r="O129" s="304"/>
      <c r="P129" s="304"/>
    </row>
    <row r="130" spans="1:16" ht="15" customHeight="1" x14ac:dyDescent="0.3">
      <c r="A130" s="476"/>
      <c r="C130" s="36"/>
      <c r="D130" s="1"/>
      <c r="E130" s="60" t="s">
        <v>233</v>
      </c>
      <c r="F130" s="64"/>
      <c r="G130" s="64"/>
      <c r="H130" s="104"/>
      <c r="J130" s="1"/>
      <c r="K130" s="1"/>
      <c r="L130" s="62"/>
      <c r="M130" s="284"/>
      <c r="N130" s="304"/>
      <c r="O130" s="304"/>
      <c r="P130" s="304"/>
    </row>
    <row r="131" spans="1:16" ht="15" customHeight="1" x14ac:dyDescent="0.3">
      <c r="A131" s="476"/>
      <c r="C131" s="36"/>
      <c r="D131" s="1"/>
      <c r="E131" s="60"/>
      <c r="F131" s="64"/>
      <c r="G131" s="64"/>
      <c r="H131" s="104"/>
      <c r="J131" s="1"/>
      <c r="K131" s="1"/>
      <c r="L131" s="62"/>
      <c r="M131" s="284"/>
      <c r="N131" s="304"/>
      <c r="O131" s="304"/>
      <c r="P131" s="304"/>
    </row>
    <row r="132" spans="1:16" ht="15" customHeight="1" x14ac:dyDescent="0.3">
      <c r="A132" s="476"/>
      <c r="C132" s="116" t="s">
        <v>234</v>
      </c>
      <c r="L132" s="62"/>
      <c r="M132" s="284"/>
      <c r="N132" s="304"/>
      <c r="O132" s="304"/>
      <c r="P132" s="304"/>
    </row>
    <row r="133" spans="1:16" ht="15" customHeight="1" x14ac:dyDescent="0.3">
      <c r="A133" s="476"/>
      <c r="C133" s="136" t="s">
        <v>235</v>
      </c>
      <c r="D133" s="80"/>
      <c r="E133" s="80"/>
      <c r="F133" s="80"/>
      <c r="G133" s="80"/>
      <c r="L133" s="62"/>
      <c r="M133" s="284"/>
      <c r="N133" s="304"/>
      <c r="O133" s="304"/>
      <c r="P133" s="304"/>
    </row>
    <row r="134" spans="1:16" ht="15" customHeight="1" x14ac:dyDescent="0.3">
      <c r="A134" s="476"/>
      <c r="C134" s="117" t="s">
        <v>236</v>
      </c>
      <c r="D134" s="117" t="s">
        <v>237</v>
      </c>
      <c r="E134" s="117" t="s">
        <v>238</v>
      </c>
      <c r="F134" s="117" t="s">
        <v>239</v>
      </c>
      <c r="G134" s="117" t="s">
        <v>240</v>
      </c>
      <c r="H134" s="469" t="s">
        <v>66</v>
      </c>
      <c r="I134" s="470"/>
      <c r="J134" s="471"/>
      <c r="K134" s="136"/>
      <c r="L134" s="62"/>
      <c r="M134" s="284"/>
      <c r="N134" s="304"/>
      <c r="O134" s="304"/>
      <c r="P134" s="304"/>
    </row>
    <row r="135" spans="1:16" ht="15" customHeight="1" x14ac:dyDescent="0.3">
      <c r="A135" s="476"/>
      <c r="C135" s="118" t="s">
        <v>241</v>
      </c>
      <c r="D135" s="118">
        <v>8</v>
      </c>
      <c r="E135" s="119">
        <v>130</v>
      </c>
      <c r="F135" s="120">
        <f>E135/15.4</f>
        <v>8.4415584415584419</v>
      </c>
      <c r="G135" s="120">
        <v>4</v>
      </c>
      <c r="H135" s="478" t="s">
        <v>242</v>
      </c>
      <c r="I135" s="479"/>
      <c r="J135" s="480"/>
      <c r="L135" s="62"/>
      <c r="M135" s="284"/>
      <c r="N135" s="304"/>
      <c r="O135" s="304"/>
      <c r="P135" s="304"/>
    </row>
    <row r="136" spans="1:16" ht="15" customHeight="1" x14ac:dyDescent="0.3">
      <c r="A136" s="476"/>
      <c r="C136" s="118" t="s">
        <v>243</v>
      </c>
      <c r="D136" s="118">
        <v>24</v>
      </c>
      <c r="E136" s="119">
        <v>185</v>
      </c>
      <c r="F136" s="120">
        <v>12</v>
      </c>
      <c r="G136" s="120">
        <v>6</v>
      </c>
      <c r="H136" s="137" t="s">
        <v>244</v>
      </c>
      <c r="I136" s="396"/>
      <c r="J136" s="397"/>
      <c r="L136" s="62"/>
      <c r="M136" s="284"/>
      <c r="N136" s="304"/>
      <c r="O136" s="304"/>
      <c r="P136" s="304"/>
    </row>
    <row r="137" spans="1:16" ht="15" customHeight="1" x14ac:dyDescent="0.3">
      <c r="A137" s="476"/>
      <c r="C137" s="118" t="s">
        <v>245</v>
      </c>
      <c r="D137" s="118">
        <v>24</v>
      </c>
      <c r="E137" s="119">
        <v>370</v>
      </c>
      <c r="F137" s="120">
        <v>24</v>
      </c>
      <c r="G137" s="120">
        <v>12</v>
      </c>
      <c r="H137" s="137" t="s">
        <v>244</v>
      </c>
      <c r="I137" s="396"/>
      <c r="J137" s="397"/>
      <c r="L137" s="62"/>
      <c r="M137" s="284"/>
      <c r="N137" s="304"/>
      <c r="O137" s="304"/>
      <c r="P137" s="304"/>
    </row>
    <row r="138" spans="1:16" ht="15" customHeight="1" x14ac:dyDescent="0.3">
      <c r="A138" s="476"/>
      <c r="C138" s="118" t="s">
        <v>246</v>
      </c>
      <c r="D138" s="118">
        <v>48</v>
      </c>
      <c r="E138" s="119">
        <v>370</v>
      </c>
      <c r="F138" s="120">
        <v>24</v>
      </c>
      <c r="G138" s="120">
        <v>12</v>
      </c>
      <c r="H138" s="137" t="s">
        <v>244</v>
      </c>
      <c r="I138" s="396"/>
      <c r="J138" s="397"/>
      <c r="L138" s="62"/>
      <c r="M138" s="284"/>
      <c r="N138" s="304"/>
      <c r="O138" s="304"/>
      <c r="P138" s="304"/>
    </row>
    <row r="139" spans="1:16" ht="15" customHeight="1" x14ac:dyDescent="0.3">
      <c r="A139" s="476"/>
      <c r="C139" s="118" t="s">
        <v>247</v>
      </c>
      <c r="D139" s="118">
        <v>48</v>
      </c>
      <c r="E139" s="119">
        <v>740</v>
      </c>
      <c r="F139" s="120">
        <v>48</v>
      </c>
      <c r="G139" s="120">
        <v>24</v>
      </c>
      <c r="H139" s="137" t="s">
        <v>244</v>
      </c>
      <c r="I139" s="396"/>
      <c r="J139" s="397"/>
      <c r="L139" s="62"/>
      <c r="M139" s="284"/>
      <c r="N139" s="304"/>
      <c r="O139" s="304"/>
      <c r="P139" s="304"/>
    </row>
    <row r="140" spans="1:16" ht="15" customHeight="1" x14ac:dyDescent="0.3">
      <c r="A140" s="476"/>
      <c r="C140" s="118" t="s">
        <v>248</v>
      </c>
      <c r="D140" s="118">
        <v>24</v>
      </c>
      <c r="E140" s="119">
        <v>180</v>
      </c>
      <c r="F140" s="120">
        <f>E140/15.4</f>
        <v>11.688311688311687</v>
      </c>
      <c r="G140" s="120">
        <v>6</v>
      </c>
      <c r="H140" s="481" t="s">
        <v>244</v>
      </c>
      <c r="I140" s="482"/>
      <c r="J140" s="483"/>
      <c r="K140" s="80"/>
      <c r="L140" s="62"/>
      <c r="M140" s="284"/>
      <c r="N140" s="304"/>
      <c r="O140" s="304"/>
      <c r="P140" s="304"/>
    </row>
    <row r="141" spans="1:16" ht="15" customHeight="1" x14ac:dyDescent="0.3">
      <c r="A141" s="476"/>
      <c r="C141" s="118" t="s">
        <v>249</v>
      </c>
      <c r="D141" s="118">
        <v>24</v>
      </c>
      <c r="E141" s="119">
        <v>370</v>
      </c>
      <c r="F141" s="120">
        <f t="shared" ref="F141:F143" si="7">E141/15.4</f>
        <v>24.025974025974026</v>
      </c>
      <c r="G141" s="120">
        <v>12</v>
      </c>
      <c r="H141" s="481" t="s">
        <v>250</v>
      </c>
      <c r="I141" s="482"/>
      <c r="J141" s="483"/>
      <c r="K141" s="80"/>
      <c r="L141" s="62"/>
      <c r="M141" s="284"/>
      <c r="N141" s="304"/>
      <c r="O141" s="304"/>
      <c r="P141" s="304"/>
    </row>
    <row r="142" spans="1:16" ht="15" customHeight="1" x14ac:dyDescent="0.3">
      <c r="A142" s="476"/>
      <c r="C142" s="118" t="s">
        <v>251</v>
      </c>
      <c r="D142" s="118">
        <v>48</v>
      </c>
      <c r="E142" s="119">
        <v>370</v>
      </c>
      <c r="F142" s="120">
        <f t="shared" si="7"/>
        <v>24.025974025974026</v>
      </c>
      <c r="G142" s="120">
        <v>12</v>
      </c>
      <c r="H142" s="481" t="s">
        <v>244</v>
      </c>
      <c r="I142" s="482"/>
      <c r="J142" s="483"/>
      <c r="K142" s="80"/>
      <c r="L142" s="62"/>
      <c r="M142" s="284"/>
      <c r="N142" s="304"/>
      <c r="O142" s="304"/>
      <c r="P142" s="304"/>
    </row>
    <row r="143" spans="1:16" ht="15" customHeight="1" x14ac:dyDescent="0.3">
      <c r="A143" s="476"/>
      <c r="C143" s="118" t="s">
        <v>252</v>
      </c>
      <c r="D143" s="118">
        <v>48</v>
      </c>
      <c r="E143" s="119">
        <v>740</v>
      </c>
      <c r="F143" s="120">
        <f t="shared" si="7"/>
        <v>48.051948051948052</v>
      </c>
      <c r="G143" s="120">
        <v>24</v>
      </c>
      <c r="H143" s="484" t="s">
        <v>244</v>
      </c>
      <c r="I143" s="484"/>
      <c r="J143" s="484"/>
      <c r="K143" s="80"/>
      <c r="L143" s="62"/>
      <c r="M143" s="284"/>
      <c r="N143" s="304"/>
      <c r="O143" s="304"/>
      <c r="P143" s="304"/>
    </row>
    <row r="144" spans="1:16" ht="15" customHeight="1" x14ac:dyDescent="0.3">
      <c r="A144" s="476"/>
      <c r="C144"/>
      <c r="H144" s="121" t="s">
        <v>253</v>
      </c>
      <c r="L144" s="62"/>
      <c r="M144" s="284"/>
      <c r="N144" s="304"/>
      <c r="O144" s="304"/>
      <c r="P144" s="304"/>
    </row>
    <row r="145" spans="1:16" ht="15.6" hidden="1" x14ac:dyDescent="0.3">
      <c r="A145" s="476"/>
      <c r="B145" s="203"/>
      <c r="C145" s="204"/>
      <c r="D145" s="157" t="s">
        <v>254</v>
      </c>
      <c r="E145" s="47"/>
      <c r="F145" s="47"/>
      <c r="G145" s="47"/>
      <c r="H145" s="48"/>
      <c r="I145" s="48"/>
      <c r="J145" s="49"/>
      <c r="K145" s="49"/>
      <c r="L145" s="170"/>
      <c r="M145" s="280"/>
      <c r="N145" s="300"/>
      <c r="O145" s="300"/>
      <c r="P145" s="300"/>
    </row>
    <row r="146" spans="1:16" ht="15.6" hidden="1" x14ac:dyDescent="0.3">
      <c r="A146" s="476"/>
      <c r="B146" s="52">
        <v>0</v>
      </c>
      <c r="C146" s="92" t="s">
        <v>176</v>
      </c>
      <c r="D146" s="168"/>
      <c r="E146" s="54" t="s">
        <v>255</v>
      </c>
      <c r="F146" s="151"/>
      <c r="H146" s="96" t="s">
        <v>256</v>
      </c>
      <c r="I146" s="77"/>
      <c r="L146"/>
      <c r="M146" s="293"/>
      <c r="N146" s="29"/>
      <c r="O146" s="302"/>
      <c r="P146" s="302"/>
    </row>
    <row r="147" spans="1:16" hidden="1" x14ac:dyDescent="0.3">
      <c r="A147" s="476"/>
      <c r="C147" s="36"/>
      <c r="D147" s="1"/>
      <c r="E147" s="1"/>
      <c r="F147" s="122"/>
      <c r="H147" s="1"/>
      <c r="I147" s="1"/>
      <c r="J147" s="1"/>
      <c r="K147" s="1"/>
      <c r="L147" s="37"/>
      <c r="M147" s="282"/>
      <c r="N147" s="302"/>
      <c r="O147" s="302"/>
      <c r="P147" s="302"/>
    </row>
    <row r="148" spans="1:16" ht="15.6" x14ac:dyDescent="0.3">
      <c r="A148" s="476"/>
      <c r="B148" s="203"/>
      <c r="C148" s="204"/>
      <c r="D148" s="157" t="s">
        <v>257</v>
      </c>
      <c r="E148" s="47"/>
      <c r="F148" s="47"/>
      <c r="G148" s="47"/>
      <c r="H148" s="48"/>
      <c r="I148" s="48"/>
      <c r="J148" s="49"/>
      <c r="K148" s="49"/>
      <c r="L148" s="170"/>
      <c r="M148" s="280"/>
      <c r="N148" s="300"/>
      <c r="O148" s="300"/>
      <c r="P148" s="300"/>
    </row>
    <row r="149" spans="1:16" ht="15" customHeight="1" x14ac:dyDescent="0.3">
      <c r="A149" s="476"/>
      <c r="C149"/>
      <c r="E149" s="477" t="s">
        <v>258</v>
      </c>
      <c r="F149" s="477"/>
      <c r="G149" s="477"/>
      <c r="H149" s="477"/>
      <c r="I149" s="477"/>
      <c r="J149" s="477"/>
      <c r="K149" s="202"/>
      <c r="L149" s="62"/>
      <c r="M149" s="284"/>
      <c r="N149" s="304"/>
      <c r="O149" s="304"/>
      <c r="P149" s="304"/>
    </row>
    <row r="150" spans="1:16" x14ac:dyDescent="0.3">
      <c r="A150" s="476"/>
      <c r="C150"/>
      <c r="E150" s="477"/>
      <c r="F150" s="477"/>
      <c r="G150" s="477"/>
      <c r="H150" s="477"/>
      <c r="I150" s="477"/>
      <c r="J150" s="477"/>
      <c r="K150" s="202"/>
      <c r="L150" s="62"/>
      <c r="M150" s="284"/>
      <c r="N150" s="304"/>
      <c r="O150" s="304"/>
      <c r="P150" s="304"/>
    </row>
    <row r="151" spans="1:16" x14ac:dyDescent="0.3">
      <c r="A151" s="476"/>
      <c r="B151" s="99"/>
      <c r="C151" s="99"/>
      <c r="D151" s="66"/>
      <c r="E151" s="81"/>
      <c r="F151" s="81"/>
      <c r="G151" s="82"/>
      <c r="H151" s="77"/>
      <c r="I151" s="77"/>
      <c r="J151" s="83"/>
      <c r="K151" s="83"/>
      <c r="L151" s="69"/>
      <c r="M151" s="282"/>
      <c r="N151" s="302"/>
      <c r="O151" s="302"/>
      <c r="P151" s="302"/>
    </row>
    <row r="152" spans="1:16" ht="15.6" x14ac:dyDescent="0.3">
      <c r="A152" s="476"/>
      <c r="B152" s="203"/>
      <c r="C152" s="204"/>
      <c r="D152" s="157" t="s">
        <v>259</v>
      </c>
      <c r="E152" s="47"/>
      <c r="F152" s="47"/>
      <c r="G152" s="47"/>
      <c r="H152" s="48"/>
      <c r="I152" s="48"/>
      <c r="J152" s="49"/>
      <c r="K152" s="49"/>
      <c r="L152" s="170"/>
      <c r="M152" s="280">
        <f>SUM(M153:M157)</f>
        <v>0</v>
      </c>
      <c r="N152" s="300">
        <f t="shared" ref="N152:P152" si="8">SUM(N153:N157)</f>
        <v>0</v>
      </c>
      <c r="O152" s="300">
        <f>SUM(O153:O157)</f>
        <v>0</v>
      </c>
      <c r="P152" s="300">
        <f t="shared" si="8"/>
        <v>0</v>
      </c>
    </row>
    <row r="153" spans="1:16" x14ac:dyDescent="0.3">
      <c r="A153" s="476"/>
      <c r="B153" s="52">
        <v>0</v>
      </c>
      <c r="C153" s="53" t="s">
        <v>176</v>
      </c>
      <c r="E153" s="123" t="s">
        <v>260</v>
      </c>
      <c r="F153" s="125"/>
      <c r="G153" s="126"/>
      <c r="H153" s="93">
        <v>0</v>
      </c>
      <c r="I153" s="77" t="s">
        <v>83</v>
      </c>
      <c r="J153" s="39"/>
      <c r="K153" s="39"/>
      <c r="M153" s="282"/>
      <c r="N153" s="306"/>
      <c r="O153" s="307"/>
      <c r="P153" s="307">
        <f>+B153*H153</f>
        <v>0</v>
      </c>
    </row>
    <row r="154" spans="1:16" x14ac:dyDescent="0.3">
      <c r="A154" s="476"/>
      <c r="B154" s="52">
        <v>0</v>
      </c>
      <c r="C154" s="53" t="s">
        <v>176</v>
      </c>
      <c r="E154" s="123" t="s">
        <v>261</v>
      </c>
      <c r="F154" s="125"/>
      <c r="G154" s="126"/>
      <c r="H154" s="93">
        <v>0</v>
      </c>
      <c r="I154" s="77" t="s">
        <v>86</v>
      </c>
      <c r="J154" s="39"/>
      <c r="K154" s="39"/>
      <c r="M154" s="282">
        <f>+B154*H154</f>
        <v>0</v>
      </c>
      <c r="N154" s="306"/>
      <c r="O154" s="307"/>
      <c r="P154" s="307"/>
    </row>
    <row r="155" spans="1:16" x14ac:dyDescent="0.3">
      <c r="A155" s="476"/>
      <c r="B155" s="52">
        <v>0</v>
      </c>
      <c r="C155" s="53" t="s">
        <v>176</v>
      </c>
      <c r="E155" s="123" t="s">
        <v>262</v>
      </c>
      <c r="F155" s="125"/>
      <c r="G155" s="126"/>
      <c r="H155" s="93">
        <v>0</v>
      </c>
      <c r="I155" s="77" t="s">
        <v>75</v>
      </c>
      <c r="J155" s="39"/>
      <c r="K155" s="39"/>
      <c r="M155" s="282"/>
      <c r="N155" s="302">
        <f>+B155*H155</f>
        <v>0</v>
      </c>
      <c r="O155" s="307"/>
      <c r="P155" s="307"/>
    </row>
    <row r="156" spans="1:16" ht="15" x14ac:dyDescent="0.3">
      <c r="A156" s="476"/>
      <c r="E156" s="252" t="s">
        <v>263</v>
      </c>
      <c r="L156"/>
      <c r="M156" s="288"/>
      <c r="N156" s="306"/>
      <c r="O156" s="306"/>
      <c r="P156" s="306"/>
    </row>
    <row r="157" spans="1:16" x14ac:dyDescent="0.3">
      <c r="A157" s="476"/>
      <c r="L157"/>
      <c r="M157" s="288"/>
      <c r="N157" s="306"/>
      <c r="O157" s="306"/>
      <c r="P157" s="306"/>
    </row>
    <row r="158" spans="1:16" ht="15.6" x14ac:dyDescent="0.3">
      <c r="A158" s="458"/>
      <c r="B158" s="163" t="s">
        <v>264</v>
      </c>
      <c r="C158" s="155"/>
      <c r="D158" s="24"/>
      <c r="E158" s="24"/>
      <c r="F158" s="127"/>
      <c r="G158" s="127"/>
      <c r="H158" s="128"/>
      <c r="I158" s="128"/>
      <c r="J158" s="24"/>
      <c r="K158" s="24"/>
      <c r="L158" s="129"/>
      <c r="M158" s="294">
        <f>IFERROR(M13+M23+M55+M62+M90+M108+M100+M152,"Contact Sales Engineering")</f>
        <v>0</v>
      </c>
      <c r="N158" s="312">
        <f>IFERROR(N13+N23+N55+N62+N90+N108+N100+N152,"Contact Sales Engineering")</f>
        <v>0</v>
      </c>
      <c r="O158" s="312">
        <f>IFERROR(O13+O23+O55+O62+O90+O108+O100+O152,"Contact Sales Engineering")</f>
        <v>0</v>
      </c>
      <c r="P158" s="312">
        <f>IFERROR(P13+P23+P55+P62+P90+P108+P100+P152,"Contact Sales Engineering")</f>
        <v>0</v>
      </c>
    </row>
    <row r="159" spans="1:16" x14ac:dyDescent="0.3">
      <c r="A159" s="458"/>
      <c r="C159" s="36"/>
      <c r="D159" s="1"/>
      <c r="E159" s="1"/>
      <c r="F159" s="1"/>
      <c r="G159" s="1"/>
      <c r="H159" s="1"/>
      <c r="I159" s="1"/>
      <c r="J159" s="1"/>
      <c r="K159" s="1"/>
      <c r="L159" s="37"/>
      <c r="M159" s="295"/>
      <c r="N159" s="307"/>
      <c r="O159" s="307"/>
      <c r="P159" s="307"/>
    </row>
    <row r="160" spans="1:16" ht="15.6" x14ac:dyDescent="0.3">
      <c r="A160" s="458"/>
      <c r="B160" s="165" t="s">
        <v>265</v>
      </c>
      <c r="C160" s="155"/>
      <c r="D160" s="24"/>
      <c r="E160" s="24"/>
      <c r="F160" s="127"/>
      <c r="G160" s="127"/>
      <c r="H160" s="128"/>
      <c r="I160" s="128"/>
      <c r="J160" s="24"/>
      <c r="K160" s="24"/>
      <c r="L160" s="129"/>
      <c r="M160" s="277" t="s">
        <v>74</v>
      </c>
      <c r="N160" s="130" t="s">
        <v>75</v>
      </c>
      <c r="O160" s="130" t="s">
        <v>266</v>
      </c>
      <c r="P160" s="130" t="s">
        <v>77</v>
      </c>
    </row>
    <row r="161" spans="1:16" ht="15.6" x14ac:dyDescent="0.3">
      <c r="A161" s="458"/>
      <c r="B161" s="166" t="str">
        <f>+E14</f>
        <v>Workstation Support (Required for every device in active directory/Azure active directory (Entra ID))</v>
      </c>
      <c r="C161" s="36"/>
      <c r="D161" s="1"/>
      <c r="E161" s="1"/>
      <c r="F161" s="1"/>
      <c r="G161" s="1"/>
      <c r="H161" s="1"/>
      <c r="I161" s="1"/>
      <c r="J161" s="1"/>
      <c r="K161" s="1"/>
      <c r="L161" s="131"/>
      <c r="M161" s="296">
        <f>SUM(M15:M16)</f>
        <v>0</v>
      </c>
      <c r="N161" s="313">
        <f>SUM(N15:N16)</f>
        <v>0</v>
      </c>
      <c r="O161" s="313">
        <f>SUM(O15:O16)</f>
        <v>0</v>
      </c>
      <c r="P161" s="313">
        <f>SUM(P15:P16)</f>
        <v>0</v>
      </c>
    </row>
    <row r="162" spans="1:16" ht="15.6" x14ac:dyDescent="0.3">
      <c r="A162" s="458"/>
      <c r="B162" s="167" t="str">
        <f>+E18</f>
        <v>Server Support (Required for all physical and virtual servers)</v>
      </c>
      <c r="C162" s="133"/>
      <c r="D162" s="134"/>
      <c r="E162" s="134"/>
      <c r="F162" s="134"/>
      <c r="G162" s="134"/>
      <c r="H162" s="134"/>
      <c r="I162" s="134"/>
      <c r="J162" s="134"/>
      <c r="K162" s="134"/>
      <c r="L162" s="135"/>
      <c r="M162" s="297">
        <f>SUM(M19:M19)</f>
        <v>0</v>
      </c>
      <c r="N162" s="314">
        <f>SUM(N19:N19)</f>
        <v>0</v>
      </c>
      <c r="O162" s="314">
        <f>SUM(O19:O19)</f>
        <v>0</v>
      </c>
      <c r="P162" s="314">
        <f>SUM(P19:P19)</f>
        <v>0</v>
      </c>
    </row>
    <row r="163" spans="1:16" ht="15.6" x14ac:dyDescent="0.3">
      <c r="A163" s="458"/>
      <c r="B163" s="166" t="str">
        <f>D23</f>
        <v>Disaster Recovery as a Service (DRaaS)</v>
      </c>
      <c r="C163" s="166"/>
      <c r="D163" s="166"/>
      <c r="E163" s="166"/>
      <c r="F163" s="166"/>
      <c r="G163" s="166"/>
      <c r="H163" s="166"/>
      <c r="I163" s="166"/>
      <c r="J163" s="166"/>
      <c r="K163" s="166"/>
      <c r="L163" s="166"/>
      <c r="M163" s="296">
        <f>M23</f>
        <v>0</v>
      </c>
      <c r="N163" s="313">
        <f>N23</f>
        <v>0</v>
      </c>
      <c r="O163" s="313">
        <f>O23</f>
        <v>0</v>
      </c>
      <c r="P163" s="313">
        <f>P23</f>
        <v>0</v>
      </c>
    </row>
    <row r="164" spans="1:16" ht="15.6" x14ac:dyDescent="0.3">
      <c r="A164" s="458"/>
      <c r="B164" s="167" t="str">
        <f>D55</f>
        <v>File-Level Cloud Backup Solution</v>
      </c>
      <c r="C164" s="167"/>
      <c r="D164" s="167"/>
      <c r="E164" s="167"/>
      <c r="F164" s="167"/>
      <c r="G164" s="167"/>
      <c r="H164" s="167"/>
      <c r="I164" s="167"/>
      <c r="J164" s="167"/>
      <c r="K164" s="167"/>
      <c r="L164" s="167"/>
      <c r="M164" s="297">
        <f>M55</f>
        <v>0</v>
      </c>
      <c r="N164" s="314">
        <f>N55</f>
        <v>0</v>
      </c>
      <c r="O164" s="314">
        <f>O55</f>
        <v>0</v>
      </c>
      <c r="P164" s="314">
        <f>P55</f>
        <v>0</v>
      </c>
    </row>
    <row r="165" spans="1:16" ht="15.6" x14ac:dyDescent="0.3">
      <c r="A165" s="458"/>
      <c r="B165" s="166" t="str">
        <f>+D62</f>
        <v>Unified Threat Management Appliances, Wireless Access Points</v>
      </c>
      <c r="C165" s="166"/>
      <c r="D165" s="166"/>
      <c r="E165" s="166"/>
      <c r="F165" s="166"/>
      <c r="G165" s="166"/>
      <c r="H165" s="166"/>
      <c r="I165" s="166"/>
      <c r="J165" s="166"/>
      <c r="K165" s="166"/>
      <c r="L165" s="166"/>
      <c r="M165" s="296">
        <f>M62</f>
        <v>0</v>
      </c>
      <c r="N165" s="313">
        <f>N62</f>
        <v>0</v>
      </c>
      <c r="O165" s="313">
        <f>O62</f>
        <v>0</v>
      </c>
      <c r="P165" s="313">
        <f>P62</f>
        <v>0</v>
      </c>
    </row>
    <row r="166" spans="1:16" ht="15.6" x14ac:dyDescent="0.3">
      <c r="A166" s="458"/>
      <c r="B166" s="167" t="s">
        <v>175</v>
      </c>
      <c r="C166" s="167"/>
      <c r="D166" s="167"/>
      <c r="E166" s="167"/>
      <c r="F166" s="167"/>
      <c r="G166" s="167"/>
      <c r="H166" s="167"/>
      <c r="I166" s="167"/>
      <c r="J166" s="167"/>
      <c r="K166" s="167"/>
      <c r="L166" s="167"/>
      <c r="M166" s="297">
        <f>+M90</f>
        <v>0</v>
      </c>
      <c r="N166" s="314">
        <f>+N90</f>
        <v>0</v>
      </c>
      <c r="O166" s="314">
        <f>+O90</f>
        <v>0</v>
      </c>
      <c r="P166" s="314">
        <f>+P90</f>
        <v>0</v>
      </c>
    </row>
    <row r="167" spans="1:16" ht="15.6" x14ac:dyDescent="0.3">
      <c r="A167" s="458"/>
      <c r="B167" s="166" t="str">
        <f>D100</f>
        <v>O365 &amp; M365 Backup - Datto SaaS Protection</v>
      </c>
      <c r="C167" s="166"/>
      <c r="D167" s="166"/>
      <c r="E167" s="166"/>
      <c r="F167" s="166"/>
      <c r="G167" s="166"/>
      <c r="H167" s="166"/>
      <c r="I167" s="166"/>
      <c r="J167" s="166"/>
      <c r="K167" s="166"/>
      <c r="L167" s="166"/>
      <c r="M167" s="296">
        <f>M100</f>
        <v>0</v>
      </c>
      <c r="N167" s="313">
        <f>N100</f>
        <v>0</v>
      </c>
      <c r="O167" s="313">
        <f>O100</f>
        <v>0</v>
      </c>
      <c r="P167" s="313">
        <f>P100</f>
        <v>0</v>
      </c>
    </row>
    <row r="168" spans="1:16" ht="15.6" x14ac:dyDescent="0.3">
      <c r="A168" s="458"/>
      <c r="B168" s="167" t="str">
        <f>D108</f>
        <v>FortiSwitch</v>
      </c>
      <c r="C168" s="167"/>
      <c r="D168" s="167"/>
      <c r="E168" s="167"/>
      <c r="F168" s="167"/>
      <c r="G168" s="167"/>
      <c r="H168" s="167"/>
      <c r="I168" s="167"/>
      <c r="J168" s="167"/>
      <c r="K168" s="167"/>
      <c r="L168" s="167"/>
      <c r="M168" s="297">
        <f>M108</f>
        <v>0</v>
      </c>
      <c r="N168" s="314">
        <f>N108</f>
        <v>0</v>
      </c>
      <c r="O168" s="314">
        <f>O108</f>
        <v>0</v>
      </c>
      <c r="P168" s="314">
        <f>P108</f>
        <v>0</v>
      </c>
    </row>
    <row r="169" spans="1:16" ht="15.6" x14ac:dyDescent="0.3">
      <c r="A169" s="458"/>
      <c r="B169" s="223" t="str">
        <f>+D152</f>
        <v>Other Fees</v>
      </c>
      <c r="C169" s="223"/>
      <c r="D169" s="223"/>
      <c r="E169" s="223"/>
      <c r="F169" s="223"/>
      <c r="G169" s="223"/>
      <c r="H169" s="223"/>
      <c r="I169" s="223"/>
      <c r="J169" s="223"/>
      <c r="K169" s="223"/>
      <c r="L169" s="425"/>
      <c r="M169" s="421">
        <f>+M152</f>
        <v>0</v>
      </c>
      <c r="N169" s="422">
        <f>+N152</f>
        <v>0</v>
      </c>
      <c r="O169" s="422">
        <f>+O152</f>
        <v>0</v>
      </c>
      <c r="P169" s="422">
        <f>+P152</f>
        <v>0</v>
      </c>
    </row>
    <row r="170" spans="1:16" ht="16.2" thickBot="1" x14ac:dyDescent="0.35">
      <c r="A170" s="458"/>
      <c r="B170" s="224" t="s">
        <v>264</v>
      </c>
      <c r="C170" s="225"/>
      <c r="D170" s="226"/>
      <c r="E170" s="226"/>
      <c r="F170" s="227"/>
      <c r="G170" s="227"/>
      <c r="H170" s="228"/>
      <c r="I170" s="228"/>
      <c r="J170" s="226"/>
      <c r="K170" s="226"/>
      <c r="L170" s="229"/>
      <c r="M170" s="298">
        <f>SUM(M161:M169)</f>
        <v>0</v>
      </c>
      <c r="N170" s="315">
        <f>SUM(N161:N169)</f>
        <v>0</v>
      </c>
      <c r="O170" s="315">
        <f>SUM(O161:O169)</f>
        <v>0</v>
      </c>
      <c r="P170" s="315">
        <f>SUM(P161:P169)</f>
        <v>0</v>
      </c>
    </row>
    <row r="171" spans="1:16" ht="16.2" thickTop="1" x14ac:dyDescent="0.3">
      <c r="A171" s="458"/>
      <c r="B171" s="210" t="s">
        <v>267</v>
      </c>
      <c r="C171" s="36"/>
      <c r="D171" s="1"/>
      <c r="E171" s="1"/>
      <c r="F171" s="1"/>
      <c r="G171" s="1"/>
      <c r="H171" s="1"/>
      <c r="I171" s="1"/>
      <c r="J171" s="1"/>
      <c r="K171" s="1"/>
      <c r="L171" s="131"/>
      <c r="M171" s="132"/>
      <c r="N171" s="132"/>
      <c r="P171" s="213">
        <f>IF(OR(F10=Lookups!B41,F10=Lookups!B42),0,IF(P170=0,0,IF(P170&lt;250,250-P170,0)))</f>
        <v>0</v>
      </c>
    </row>
    <row r="172" spans="1:16" x14ac:dyDescent="0.3">
      <c r="A172" s="458"/>
      <c r="C172" s="36"/>
      <c r="D172" s="1"/>
      <c r="E172" s="1"/>
      <c r="I172" s="39"/>
      <c r="J172" s="39"/>
      <c r="K172" s="39"/>
      <c r="M172"/>
      <c r="N172"/>
      <c r="P172" s="233" t="str">
        <f>IF(P171&gt;0,"MRR minimum of $250 for new subscriber orders is required","")</f>
        <v/>
      </c>
    </row>
    <row r="173" spans="1:16" ht="18" x14ac:dyDescent="0.35">
      <c r="A173" s="458"/>
      <c r="B173" s="164" t="s">
        <v>268</v>
      </c>
      <c r="I173" s="39"/>
      <c r="J173" s="39"/>
      <c r="K173" s="39"/>
      <c r="M173"/>
      <c r="N173"/>
    </row>
    <row r="174" spans="1:16" ht="15.6" x14ac:dyDescent="0.3">
      <c r="A174" s="458"/>
      <c r="C174" s="251" t="str">
        <f>IF(Lookups!D26&gt;0,"Datto - 12 Month Service Commit","")</f>
        <v/>
      </c>
      <c r="D174" s="340"/>
      <c r="I174" s="39"/>
      <c r="J174" s="39"/>
      <c r="K174" s="39"/>
      <c r="M174"/>
      <c r="N174"/>
    </row>
    <row r="175" spans="1:16" ht="15.6" x14ac:dyDescent="0.3">
      <c r="A175" s="458"/>
      <c r="C175" s="251" t="str">
        <f>IF(Lookups!E26&gt;0,"Datto - 36 Month Service Commit","")</f>
        <v/>
      </c>
      <c r="H175" s="97"/>
      <c r="I175" s="39"/>
      <c r="J175" s="39"/>
      <c r="K175" s="39"/>
      <c r="M175"/>
      <c r="N175"/>
    </row>
    <row r="176" spans="1:16" ht="15.6" x14ac:dyDescent="0.3">
      <c r="A176" s="458"/>
      <c r="C176" s="251"/>
      <c r="H176" s="97"/>
      <c r="I176" s="39"/>
      <c r="J176" s="39"/>
      <c r="K176" s="39"/>
      <c r="M176"/>
      <c r="N176"/>
      <c r="P176"/>
    </row>
    <row r="177" spans="1:16" ht="15.6" x14ac:dyDescent="0.3">
      <c r="A177" s="458"/>
      <c r="C177" s="251" t="str">
        <f>IF($P$168&gt;0,"FortiSwitch(s) - 18 month term","")</f>
        <v/>
      </c>
      <c r="H177" s="97"/>
      <c r="I177" s="39"/>
      <c r="J177" s="39"/>
      <c r="K177" s="39"/>
      <c r="M177"/>
      <c r="N177"/>
      <c r="P177"/>
    </row>
    <row r="178" spans="1:16" ht="15.6" x14ac:dyDescent="0.3">
      <c r="A178" s="458"/>
      <c r="C178" s="251"/>
      <c r="H178" s="97"/>
      <c r="I178" s="39"/>
      <c r="J178" s="39"/>
      <c r="K178" s="39"/>
      <c r="M178"/>
      <c r="N178"/>
      <c r="P178"/>
    </row>
    <row r="179" spans="1:16" ht="15.6" x14ac:dyDescent="0.3">
      <c r="A179" s="458"/>
      <c r="C179" s="251"/>
      <c r="H179" s="97"/>
      <c r="I179" s="39"/>
      <c r="J179" s="39"/>
      <c r="K179" s="39"/>
      <c r="M179"/>
      <c r="N179"/>
      <c r="P179"/>
    </row>
    <row r="180" spans="1:16" x14ac:dyDescent="0.3">
      <c r="A180" s="458"/>
      <c r="I180" s="39"/>
      <c r="J180" s="39"/>
      <c r="K180" s="39"/>
      <c r="M180"/>
      <c r="N180"/>
      <c r="P180"/>
    </row>
    <row r="181" spans="1:16" x14ac:dyDescent="0.3">
      <c r="A181" s="458"/>
      <c r="I181" s="39"/>
      <c r="J181" s="39"/>
      <c r="K181" s="39"/>
      <c r="M181"/>
      <c r="N181"/>
      <c r="P181"/>
    </row>
    <row r="182" spans="1:16" ht="15.6" x14ac:dyDescent="0.3">
      <c r="A182" s="458"/>
      <c r="C182" s="187"/>
      <c r="I182" s="39"/>
      <c r="J182" s="39"/>
      <c r="K182" s="39"/>
      <c r="M182"/>
      <c r="N182"/>
      <c r="P182"/>
    </row>
    <row r="183" spans="1:16" ht="18.600000000000001" thickBot="1" x14ac:dyDescent="0.4">
      <c r="A183" s="458"/>
      <c r="B183" s="164" t="s">
        <v>269</v>
      </c>
      <c r="C183"/>
      <c r="L183"/>
      <c r="M183"/>
      <c r="N183"/>
      <c r="P183"/>
    </row>
    <row r="184" spans="1:16" x14ac:dyDescent="0.3">
      <c r="A184" s="458"/>
      <c r="B184" s="459"/>
      <c r="C184" s="460"/>
      <c r="D184" s="460"/>
      <c r="E184" s="460"/>
      <c r="F184" s="460"/>
      <c r="G184" s="460"/>
      <c r="H184" s="461"/>
      <c r="I184" s="39"/>
      <c r="J184" s="39"/>
      <c r="K184" s="39"/>
      <c r="L184"/>
      <c r="M184"/>
      <c r="N184"/>
      <c r="P184"/>
    </row>
    <row r="185" spans="1:16" x14ac:dyDescent="0.3">
      <c r="A185" s="458"/>
      <c r="B185" s="462"/>
      <c r="C185" s="463"/>
      <c r="D185" s="463"/>
      <c r="E185" s="463"/>
      <c r="F185" s="463"/>
      <c r="G185" s="463"/>
      <c r="H185" s="464"/>
      <c r="I185" s="39"/>
      <c r="J185" s="39"/>
      <c r="K185" s="39"/>
      <c r="L185"/>
      <c r="M185"/>
      <c r="N185"/>
      <c r="P185"/>
    </row>
    <row r="186" spans="1:16" x14ac:dyDescent="0.3">
      <c r="A186" s="458"/>
      <c r="B186" s="462"/>
      <c r="C186" s="463"/>
      <c r="D186" s="463"/>
      <c r="E186" s="463"/>
      <c r="F186" s="463"/>
      <c r="G186" s="463"/>
      <c r="H186" s="464"/>
      <c r="I186" s="39"/>
      <c r="J186" s="39"/>
      <c r="K186" s="39"/>
      <c r="L186"/>
      <c r="M186"/>
      <c r="N186"/>
      <c r="P186"/>
    </row>
    <row r="187" spans="1:16" x14ac:dyDescent="0.3">
      <c r="A187" s="458"/>
      <c r="B187" s="462"/>
      <c r="C187" s="463"/>
      <c r="D187" s="463"/>
      <c r="E187" s="463"/>
      <c r="F187" s="463"/>
      <c r="G187" s="463"/>
      <c r="H187" s="464"/>
      <c r="I187" s="39"/>
      <c r="J187" s="39"/>
      <c r="K187" s="39"/>
      <c r="L187"/>
      <c r="M187"/>
      <c r="N187"/>
      <c r="P187"/>
    </row>
    <row r="188" spans="1:16" ht="15" thickBot="1" x14ac:dyDescent="0.35">
      <c r="A188" s="458"/>
      <c r="B188" s="465"/>
      <c r="C188" s="466"/>
      <c r="D188" s="466"/>
      <c r="E188" s="466"/>
      <c r="F188" s="466"/>
      <c r="G188" s="466"/>
      <c r="H188" s="467"/>
      <c r="I188" s="39"/>
      <c r="J188" s="39"/>
      <c r="K188" s="39"/>
      <c r="L188"/>
      <c r="M188"/>
      <c r="N188"/>
      <c r="P188"/>
    </row>
    <row r="189" spans="1:16" x14ac:dyDescent="0.3">
      <c r="I189" s="39"/>
      <c r="J189" s="39"/>
      <c r="K189" s="39"/>
      <c r="M189"/>
      <c r="N189"/>
      <c r="P189"/>
    </row>
    <row r="190" spans="1:16" x14ac:dyDescent="0.3">
      <c r="I190" s="39"/>
      <c r="J190" s="39"/>
      <c r="K190" s="39"/>
      <c r="M190"/>
      <c r="N190"/>
      <c r="P190"/>
    </row>
    <row r="191" spans="1:16" x14ac:dyDescent="0.3">
      <c r="I191" s="39"/>
      <c r="J191" s="39"/>
      <c r="K191" s="39"/>
      <c r="M191"/>
      <c r="N191"/>
      <c r="P191"/>
    </row>
    <row r="192" spans="1:16" x14ac:dyDescent="0.3">
      <c r="I192" s="39"/>
      <c r="J192" s="39"/>
      <c r="K192" s="39"/>
      <c r="M192"/>
      <c r="N192"/>
      <c r="P192"/>
    </row>
    <row r="193" spans="9:16" x14ac:dyDescent="0.3">
      <c r="I193" s="39"/>
      <c r="J193" s="39"/>
      <c r="K193" s="39"/>
      <c r="M193"/>
      <c r="N193"/>
      <c r="P193"/>
    </row>
    <row r="194" spans="9:16" x14ac:dyDescent="0.3">
      <c r="I194" s="39"/>
      <c r="J194" s="39"/>
      <c r="K194" s="39"/>
      <c r="M194"/>
      <c r="N194"/>
      <c r="P194"/>
    </row>
    <row r="195" spans="9:16" x14ac:dyDescent="0.3">
      <c r="I195" s="39"/>
      <c r="J195" s="39"/>
      <c r="K195" s="39"/>
      <c r="M195"/>
      <c r="N195"/>
      <c r="P195"/>
    </row>
    <row r="196" spans="9:16" x14ac:dyDescent="0.3">
      <c r="I196" s="39"/>
      <c r="J196" s="39"/>
      <c r="K196" s="39"/>
      <c r="M196"/>
      <c r="N196"/>
      <c r="P196"/>
    </row>
    <row r="197" spans="9:16" x14ac:dyDescent="0.3">
      <c r="I197" s="39"/>
      <c r="J197" s="39"/>
      <c r="K197" s="39"/>
      <c r="M197"/>
      <c r="N197"/>
      <c r="P197"/>
    </row>
    <row r="198" spans="9:16" x14ac:dyDescent="0.3">
      <c r="I198" s="39"/>
      <c r="J198" s="39"/>
      <c r="K198" s="39"/>
      <c r="M198"/>
      <c r="N198"/>
      <c r="P198"/>
    </row>
    <row r="199" spans="9:16" x14ac:dyDescent="0.3">
      <c r="I199" s="39"/>
      <c r="J199" s="39"/>
      <c r="K199" s="39"/>
      <c r="M199"/>
      <c r="N199"/>
      <c r="P199"/>
    </row>
    <row r="200" spans="9:16" x14ac:dyDescent="0.3">
      <c r="I200" s="39"/>
      <c r="J200" s="39"/>
      <c r="K200" s="39"/>
      <c r="M200"/>
      <c r="N200"/>
      <c r="P200"/>
    </row>
    <row r="201" spans="9:16" x14ac:dyDescent="0.3">
      <c r="I201" s="39"/>
      <c r="J201" s="39"/>
      <c r="K201" s="39"/>
      <c r="M201"/>
      <c r="N201"/>
      <c r="P201"/>
    </row>
    <row r="202" spans="9:16" x14ac:dyDescent="0.3">
      <c r="I202" s="39"/>
      <c r="J202" s="39"/>
      <c r="K202" s="39"/>
      <c r="M202"/>
      <c r="N202"/>
      <c r="P202"/>
    </row>
    <row r="203" spans="9:16" x14ac:dyDescent="0.3">
      <c r="I203" s="39"/>
      <c r="J203" s="39"/>
      <c r="K203" s="39"/>
      <c r="M203"/>
      <c r="N203"/>
      <c r="P203"/>
    </row>
    <row r="204" spans="9:16" x14ac:dyDescent="0.3">
      <c r="I204" s="39"/>
      <c r="J204" s="39"/>
      <c r="K204" s="39"/>
      <c r="M204"/>
      <c r="N204"/>
      <c r="P204"/>
    </row>
    <row r="205" spans="9:16" x14ac:dyDescent="0.3">
      <c r="I205" s="39"/>
      <c r="J205" s="39"/>
      <c r="K205" s="39"/>
      <c r="M205"/>
      <c r="N205"/>
      <c r="P205"/>
    </row>
    <row r="206" spans="9:16" x14ac:dyDescent="0.3">
      <c r="I206" s="39"/>
      <c r="J206" s="39"/>
      <c r="K206" s="39"/>
      <c r="M206"/>
      <c r="N206"/>
      <c r="P206"/>
    </row>
    <row r="207" spans="9:16" x14ac:dyDescent="0.3">
      <c r="I207" s="39"/>
      <c r="J207" s="39"/>
      <c r="K207" s="39"/>
      <c r="M207"/>
      <c r="N207"/>
      <c r="P207"/>
    </row>
    <row r="208" spans="9:16" x14ac:dyDescent="0.3">
      <c r="I208" s="39"/>
      <c r="J208" s="39"/>
      <c r="K208" s="39"/>
      <c r="M208"/>
      <c r="N208"/>
      <c r="P208"/>
    </row>
    <row r="209" spans="9:16" x14ac:dyDescent="0.3">
      <c r="I209" s="39"/>
      <c r="J209" s="39"/>
      <c r="K209" s="39"/>
      <c r="M209"/>
      <c r="N209"/>
      <c r="P209"/>
    </row>
    <row r="210" spans="9:16" x14ac:dyDescent="0.3">
      <c r="I210" s="39"/>
      <c r="J210" s="39"/>
      <c r="K210" s="39"/>
      <c r="M210"/>
      <c r="N210"/>
      <c r="P210"/>
    </row>
    <row r="211" spans="9:16" x14ac:dyDescent="0.3">
      <c r="I211" s="39"/>
      <c r="J211" s="39"/>
      <c r="K211" s="39"/>
      <c r="M211"/>
      <c r="N211"/>
      <c r="P211"/>
    </row>
    <row r="212" spans="9:16" x14ac:dyDescent="0.3">
      <c r="I212" s="39"/>
      <c r="J212" s="39"/>
      <c r="K212" s="39"/>
      <c r="M212"/>
      <c r="N212"/>
      <c r="P212"/>
    </row>
    <row r="213" spans="9:16" x14ac:dyDescent="0.3">
      <c r="I213" s="39"/>
      <c r="J213" s="39"/>
      <c r="K213" s="39"/>
      <c r="M213"/>
      <c r="N213"/>
      <c r="P213"/>
    </row>
    <row r="214" spans="9:16" x14ac:dyDescent="0.3">
      <c r="I214" s="39"/>
      <c r="J214" s="39"/>
      <c r="K214" s="39"/>
      <c r="M214"/>
      <c r="N214"/>
      <c r="P214"/>
    </row>
    <row r="215" spans="9:16" x14ac:dyDescent="0.3">
      <c r="I215" s="39"/>
      <c r="J215" s="39"/>
      <c r="K215" s="39"/>
      <c r="M215"/>
      <c r="N215"/>
      <c r="P215"/>
    </row>
    <row r="216" spans="9:16" x14ac:dyDescent="0.3">
      <c r="I216" s="39"/>
      <c r="J216" s="39"/>
      <c r="K216" s="39"/>
      <c r="M216"/>
      <c r="N216"/>
      <c r="P216"/>
    </row>
    <row r="217" spans="9:16" x14ac:dyDescent="0.3">
      <c r="I217" s="39"/>
      <c r="J217" s="39"/>
      <c r="K217" s="39"/>
      <c r="M217"/>
      <c r="N217"/>
      <c r="P217"/>
    </row>
    <row r="218" spans="9:16" x14ac:dyDescent="0.3">
      <c r="I218" s="39"/>
      <c r="J218" s="39"/>
      <c r="K218" s="39"/>
      <c r="M218"/>
      <c r="N218"/>
      <c r="P218"/>
    </row>
    <row r="219" spans="9:16" x14ac:dyDescent="0.3">
      <c r="I219" s="39"/>
      <c r="J219" s="39"/>
      <c r="K219" s="39"/>
      <c r="M219"/>
      <c r="N219"/>
      <c r="P219"/>
    </row>
    <row r="220" spans="9:16" x14ac:dyDescent="0.3">
      <c r="I220" s="39"/>
      <c r="J220" s="39"/>
      <c r="K220" s="39"/>
      <c r="M220"/>
      <c r="N220"/>
      <c r="P220"/>
    </row>
    <row r="221" spans="9:16" x14ac:dyDescent="0.3">
      <c r="I221" s="39"/>
      <c r="J221" s="39"/>
      <c r="K221" s="39"/>
      <c r="M221"/>
      <c r="N221"/>
      <c r="P221"/>
    </row>
    <row r="222" spans="9:16" x14ac:dyDescent="0.3">
      <c r="I222" s="39"/>
      <c r="J222" s="39"/>
      <c r="K222" s="39"/>
      <c r="M222"/>
      <c r="N222"/>
      <c r="P222"/>
    </row>
    <row r="223" spans="9:16" x14ac:dyDescent="0.3">
      <c r="I223" s="39"/>
      <c r="J223" s="39"/>
      <c r="K223" s="39"/>
      <c r="M223"/>
      <c r="N223"/>
      <c r="P223"/>
    </row>
    <row r="224" spans="9:16" x14ac:dyDescent="0.3">
      <c r="I224" s="39"/>
      <c r="J224" s="39"/>
      <c r="K224" s="39"/>
      <c r="M224"/>
      <c r="N224"/>
      <c r="P224"/>
    </row>
    <row r="225" spans="9:16" x14ac:dyDescent="0.3">
      <c r="I225" s="39"/>
      <c r="J225" s="39"/>
      <c r="K225" s="39"/>
      <c r="M225"/>
      <c r="N225"/>
      <c r="P225"/>
    </row>
    <row r="226" spans="9:16" x14ac:dyDescent="0.3">
      <c r="I226" s="39"/>
      <c r="J226" s="39"/>
      <c r="K226" s="39"/>
      <c r="M226"/>
      <c r="N226"/>
    </row>
    <row r="227" spans="9:16" x14ac:dyDescent="0.3">
      <c r="I227" s="39"/>
      <c r="J227" s="39"/>
      <c r="K227" s="39"/>
      <c r="M227"/>
      <c r="N227"/>
    </row>
    <row r="228" spans="9:16" x14ac:dyDescent="0.3">
      <c r="I228" s="39"/>
      <c r="J228" s="39"/>
      <c r="K228" s="39"/>
      <c r="M228"/>
      <c r="N228"/>
    </row>
    <row r="229" spans="9:16" x14ac:dyDescent="0.3">
      <c r="I229" s="39"/>
      <c r="J229" s="39"/>
      <c r="K229" s="39"/>
      <c r="M229"/>
      <c r="N229"/>
    </row>
    <row r="230" spans="9:16" x14ac:dyDescent="0.3">
      <c r="I230" s="39"/>
      <c r="J230" s="39"/>
      <c r="K230" s="39"/>
      <c r="M230"/>
      <c r="N230"/>
    </row>
    <row r="231" spans="9:16" x14ac:dyDescent="0.3">
      <c r="I231" s="39"/>
      <c r="J231" s="39"/>
      <c r="K231" s="39"/>
      <c r="M231"/>
      <c r="N231"/>
    </row>
    <row r="232" spans="9:16" x14ac:dyDescent="0.3">
      <c r="I232" s="39"/>
      <c r="J232" s="39"/>
      <c r="K232" s="39"/>
      <c r="M232"/>
      <c r="N232"/>
    </row>
    <row r="233" spans="9:16" x14ac:dyDescent="0.3">
      <c r="I233" s="39"/>
      <c r="J233" s="39"/>
      <c r="K233" s="39"/>
      <c r="M233"/>
      <c r="N233"/>
    </row>
    <row r="234" spans="9:16" x14ac:dyDescent="0.3">
      <c r="I234" s="39"/>
      <c r="J234" s="39"/>
      <c r="K234" s="39"/>
      <c r="M234"/>
      <c r="N234"/>
    </row>
    <row r="235" spans="9:16" x14ac:dyDescent="0.3">
      <c r="I235" s="39"/>
      <c r="J235" s="39"/>
      <c r="K235" s="39"/>
      <c r="M235"/>
      <c r="N235"/>
    </row>
    <row r="236" spans="9:16" x14ac:dyDescent="0.3">
      <c r="I236" s="39"/>
      <c r="J236" s="39"/>
      <c r="K236" s="39"/>
      <c r="M236"/>
      <c r="N236"/>
    </row>
    <row r="237" spans="9:16" x14ac:dyDescent="0.3">
      <c r="I237" s="39"/>
      <c r="J237" s="39"/>
      <c r="K237" s="39"/>
      <c r="M237"/>
      <c r="N237"/>
    </row>
    <row r="238" spans="9:16" x14ac:dyDescent="0.3">
      <c r="I238" s="39"/>
      <c r="J238" s="39"/>
      <c r="K238" s="39"/>
      <c r="M238"/>
      <c r="N238"/>
    </row>
    <row r="239" spans="9:16" x14ac:dyDescent="0.3">
      <c r="I239" s="39"/>
      <c r="J239" s="39"/>
      <c r="K239" s="39"/>
      <c r="M239"/>
      <c r="N239"/>
    </row>
    <row r="240" spans="9:16" x14ac:dyDescent="0.3">
      <c r="I240" s="39"/>
      <c r="J240" s="39"/>
      <c r="K240" s="39"/>
      <c r="M240"/>
      <c r="N240"/>
    </row>
    <row r="241" spans="9:14" x14ac:dyDescent="0.3">
      <c r="I241" s="39"/>
      <c r="J241" s="39"/>
      <c r="K241" s="39"/>
      <c r="M241"/>
      <c r="N241"/>
    </row>
    <row r="242" spans="9:14" x14ac:dyDescent="0.3">
      <c r="I242" s="39"/>
      <c r="J242" s="39"/>
      <c r="K242" s="39"/>
      <c r="M242"/>
      <c r="N242"/>
    </row>
    <row r="243" spans="9:14" x14ac:dyDescent="0.3">
      <c r="I243" s="39"/>
      <c r="J243" s="39"/>
      <c r="K243" s="39"/>
      <c r="M243"/>
      <c r="N243"/>
    </row>
    <row r="244" spans="9:14" x14ac:dyDescent="0.3">
      <c r="I244" s="39"/>
      <c r="J244" s="39"/>
      <c r="K244" s="39"/>
      <c r="M244"/>
      <c r="N244"/>
    </row>
    <row r="245" spans="9:14" x14ac:dyDescent="0.3">
      <c r="I245" s="39"/>
      <c r="J245" s="39"/>
      <c r="K245" s="39"/>
      <c r="M245"/>
      <c r="N245"/>
    </row>
    <row r="246" spans="9:14" x14ac:dyDescent="0.3">
      <c r="I246" s="39"/>
      <c r="J246" s="39"/>
      <c r="K246" s="39"/>
      <c r="M246"/>
      <c r="N246"/>
    </row>
    <row r="247" spans="9:14" x14ac:dyDescent="0.3">
      <c r="I247" s="39"/>
      <c r="J247" s="39"/>
      <c r="K247" s="39"/>
      <c r="M247"/>
      <c r="N247"/>
    </row>
    <row r="248" spans="9:14" x14ac:dyDescent="0.3">
      <c r="I248" s="39"/>
      <c r="J248" s="39"/>
      <c r="K248" s="39"/>
      <c r="M248"/>
      <c r="N248"/>
    </row>
    <row r="249" spans="9:14" x14ac:dyDescent="0.3">
      <c r="I249" s="39"/>
      <c r="J249" s="39"/>
      <c r="K249" s="39"/>
      <c r="M249"/>
      <c r="N249"/>
    </row>
    <row r="250" spans="9:14" x14ac:dyDescent="0.3">
      <c r="I250" s="39"/>
      <c r="J250" s="39"/>
      <c r="K250" s="39"/>
      <c r="M250"/>
      <c r="N250"/>
    </row>
    <row r="251" spans="9:14" x14ac:dyDescent="0.3">
      <c r="I251" s="39"/>
      <c r="J251" s="39"/>
      <c r="K251" s="39"/>
      <c r="M251"/>
      <c r="N251"/>
    </row>
    <row r="252" spans="9:14" x14ac:dyDescent="0.3">
      <c r="I252" s="39"/>
      <c r="J252" s="39"/>
      <c r="K252" s="39"/>
      <c r="M252"/>
      <c r="N252"/>
    </row>
    <row r="253" spans="9:14" x14ac:dyDescent="0.3">
      <c r="I253" s="39"/>
      <c r="J253" s="39"/>
      <c r="K253" s="39"/>
      <c r="M253"/>
      <c r="N253"/>
    </row>
    <row r="254" spans="9:14" x14ac:dyDescent="0.3">
      <c r="I254" s="39"/>
      <c r="J254" s="39"/>
      <c r="K254" s="39"/>
      <c r="M254"/>
      <c r="N254"/>
    </row>
    <row r="255" spans="9:14" x14ac:dyDescent="0.3">
      <c r="I255" s="39"/>
      <c r="J255" s="39"/>
      <c r="K255" s="39"/>
      <c r="M255"/>
      <c r="N255"/>
    </row>
    <row r="256" spans="9:14" x14ac:dyDescent="0.3">
      <c r="I256" s="39"/>
      <c r="J256" s="39"/>
      <c r="K256" s="39"/>
      <c r="M256"/>
      <c r="N256"/>
    </row>
    <row r="257" spans="9:14" x14ac:dyDescent="0.3">
      <c r="I257" s="39"/>
      <c r="J257" s="39"/>
      <c r="K257" s="39"/>
      <c r="M257"/>
      <c r="N257"/>
    </row>
    <row r="258" spans="9:14" x14ac:dyDescent="0.3">
      <c r="I258" s="39"/>
      <c r="J258" s="39"/>
      <c r="K258" s="39"/>
      <c r="M258"/>
      <c r="N258"/>
    </row>
    <row r="259" spans="9:14" x14ac:dyDescent="0.3">
      <c r="I259" s="39"/>
      <c r="J259" s="39"/>
      <c r="K259" s="39"/>
      <c r="M259"/>
      <c r="N259"/>
    </row>
    <row r="260" spans="9:14" x14ac:dyDescent="0.3">
      <c r="I260" s="39"/>
      <c r="J260" s="39"/>
      <c r="K260" s="39"/>
      <c r="M260"/>
      <c r="N260"/>
    </row>
    <row r="261" spans="9:14" x14ac:dyDescent="0.3">
      <c r="I261" s="39"/>
      <c r="J261" s="39"/>
      <c r="K261" s="39"/>
      <c r="M261"/>
      <c r="N261"/>
    </row>
    <row r="262" spans="9:14" x14ac:dyDescent="0.3">
      <c r="I262" s="39"/>
      <c r="J262" s="39"/>
      <c r="K262" s="39"/>
      <c r="M262"/>
      <c r="N262"/>
    </row>
    <row r="263" spans="9:14" x14ac:dyDescent="0.3">
      <c r="I263" s="39"/>
      <c r="J263" s="39"/>
      <c r="K263" s="39"/>
      <c r="M263"/>
      <c r="N263"/>
    </row>
    <row r="264" spans="9:14" x14ac:dyDescent="0.3">
      <c r="I264" s="39"/>
      <c r="J264" s="39"/>
      <c r="K264" s="39"/>
      <c r="M264"/>
      <c r="N264"/>
    </row>
    <row r="265" spans="9:14" x14ac:dyDescent="0.3">
      <c r="I265" s="39"/>
      <c r="J265" s="39"/>
      <c r="K265" s="39"/>
      <c r="M265"/>
      <c r="N265"/>
    </row>
    <row r="266" spans="9:14" x14ac:dyDescent="0.3">
      <c r="I266" s="39"/>
      <c r="J266" s="39"/>
      <c r="K266" s="39"/>
      <c r="M266"/>
      <c r="N266"/>
    </row>
    <row r="267" spans="9:14" x14ac:dyDescent="0.3">
      <c r="I267" s="39"/>
      <c r="J267" s="39"/>
      <c r="K267" s="39"/>
      <c r="M267"/>
      <c r="N267"/>
    </row>
    <row r="268" spans="9:14" x14ac:dyDescent="0.3">
      <c r="I268" s="39"/>
      <c r="J268" s="39"/>
      <c r="K268" s="39"/>
      <c r="M268"/>
      <c r="N268"/>
    </row>
    <row r="269" spans="9:14" x14ac:dyDescent="0.3">
      <c r="I269" s="39"/>
      <c r="J269" s="39"/>
      <c r="K269" s="39"/>
      <c r="M269"/>
      <c r="N269"/>
    </row>
    <row r="270" spans="9:14" x14ac:dyDescent="0.3">
      <c r="I270" s="39"/>
      <c r="J270" s="39"/>
      <c r="K270" s="39"/>
      <c r="M270"/>
      <c r="N270"/>
    </row>
    <row r="271" spans="9:14" x14ac:dyDescent="0.3">
      <c r="I271" s="39"/>
      <c r="J271" s="39"/>
      <c r="K271" s="39"/>
      <c r="M271"/>
      <c r="N271"/>
    </row>
    <row r="272" spans="9:14" x14ac:dyDescent="0.3">
      <c r="I272" s="39"/>
      <c r="J272" s="39"/>
      <c r="K272" s="39"/>
      <c r="M272"/>
      <c r="N272"/>
    </row>
    <row r="273" spans="9:14" x14ac:dyDescent="0.3">
      <c r="I273" s="39"/>
      <c r="J273" s="39"/>
      <c r="K273" s="39"/>
      <c r="M273"/>
      <c r="N273"/>
    </row>
    <row r="274" spans="9:14" x14ac:dyDescent="0.3">
      <c r="I274" s="39"/>
      <c r="J274" s="39"/>
      <c r="K274" s="39"/>
      <c r="M274"/>
      <c r="N274"/>
    </row>
    <row r="275" spans="9:14" x14ac:dyDescent="0.3">
      <c r="I275" s="39"/>
      <c r="J275" s="39"/>
      <c r="K275" s="39"/>
      <c r="M275"/>
      <c r="N275"/>
    </row>
    <row r="276" spans="9:14" x14ac:dyDescent="0.3">
      <c r="I276" s="39"/>
      <c r="J276" s="39"/>
      <c r="K276" s="39"/>
      <c r="M276"/>
      <c r="N276"/>
    </row>
    <row r="277" spans="9:14" x14ac:dyDescent="0.3">
      <c r="I277" s="39"/>
      <c r="J277" s="39"/>
      <c r="K277" s="39"/>
      <c r="M277"/>
      <c r="N277"/>
    </row>
    <row r="278" spans="9:14" x14ac:dyDescent="0.3">
      <c r="I278" s="39"/>
      <c r="J278" s="39"/>
      <c r="K278" s="39"/>
      <c r="M278"/>
      <c r="N278"/>
    </row>
    <row r="279" spans="9:14" x14ac:dyDescent="0.3">
      <c r="I279" s="39"/>
      <c r="J279" s="39"/>
      <c r="K279" s="39"/>
      <c r="M279"/>
      <c r="N279"/>
    </row>
    <row r="280" spans="9:14" x14ac:dyDescent="0.3">
      <c r="I280" s="39"/>
      <c r="J280" s="39"/>
      <c r="K280" s="39"/>
      <c r="M280"/>
      <c r="N280"/>
    </row>
    <row r="281" spans="9:14" x14ac:dyDescent="0.3">
      <c r="I281" s="39"/>
      <c r="J281" s="39"/>
      <c r="K281" s="39"/>
      <c r="M281"/>
      <c r="N281"/>
    </row>
    <row r="282" spans="9:14" x14ac:dyDescent="0.3">
      <c r="I282" s="39"/>
      <c r="J282" s="39"/>
      <c r="K282" s="39"/>
      <c r="M282"/>
      <c r="N282"/>
    </row>
    <row r="283" spans="9:14" x14ac:dyDescent="0.3">
      <c r="I283" s="39"/>
      <c r="J283" s="39"/>
      <c r="K283" s="39"/>
      <c r="M283"/>
      <c r="N283"/>
    </row>
    <row r="284" spans="9:14" x14ac:dyDescent="0.3">
      <c r="I284" s="39"/>
      <c r="J284" s="39"/>
      <c r="K284" s="39"/>
      <c r="M284"/>
      <c r="N284"/>
    </row>
    <row r="285" spans="9:14" x14ac:dyDescent="0.3">
      <c r="I285" s="39"/>
      <c r="J285" s="39"/>
      <c r="K285" s="39"/>
      <c r="M285"/>
      <c r="N285"/>
    </row>
    <row r="286" spans="9:14" x14ac:dyDescent="0.3">
      <c r="I286" s="39"/>
      <c r="J286" s="39"/>
      <c r="K286" s="39"/>
      <c r="M286"/>
      <c r="N286"/>
    </row>
    <row r="287" spans="9:14" x14ac:dyDescent="0.3">
      <c r="I287" s="39"/>
      <c r="J287" s="39"/>
      <c r="K287" s="39"/>
      <c r="M287"/>
      <c r="N287"/>
    </row>
    <row r="288" spans="9:14" x14ac:dyDescent="0.3">
      <c r="I288" s="39"/>
      <c r="J288" s="39"/>
      <c r="K288" s="39"/>
      <c r="M288"/>
      <c r="N288"/>
    </row>
    <row r="289" spans="9:14" x14ac:dyDescent="0.3">
      <c r="I289" s="39"/>
      <c r="J289" s="39"/>
      <c r="K289" s="39"/>
      <c r="M289"/>
      <c r="N289"/>
    </row>
    <row r="290" spans="9:14" x14ac:dyDescent="0.3">
      <c r="I290" s="39"/>
      <c r="J290" s="39"/>
      <c r="K290" s="39"/>
      <c r="M290"/>
      <c r="N290"/>
    </row>
    <row r="291" spans="9:14" x14ac:dyDescent="0.3">
      <c r="I291" s="39"/>
      <c r="J291" s="39"/>
      <c r="K291" s="39"/>
      <c r="M291"/>
      <c r="N291"/>
    </row>
    <row r="292" spans="9:14" x14ac:dyDescent="0.3">
      <c r="I292" s="39"/>
      <c r="J292" s="39"/>
      <c r="K292" s="39"/>
      <c r="M292"/>
      <c r="N292"/>
    </row>
    <row r="293" spans="9:14" x14ac:dyDescent="0.3">
      <c r="I293" s="39"/>
      <c r="J293" s="39"/>
      <c r="K293" s="39"/>
      <c r="M293"/>
      <c r="N293"/>
    </row>
    <row r="294" spans="9:14" x14ac:dyDescent="0.3">
      <c r="I294" s="39"/>
      <c r="J294" s="39"/>
      <c r="K294" s="39"/>
      <c r="M294"/>
      <c r="N294"/>
    </row>
    <row r="295" spans="9:14" x14ac:dyDescent="0.3">
      <c r="I295" s="39"/>
      <c r="J295" s="39"/>
      <c r="K295" s="39"/>
      <c r="M295"/>
      <c r="N295"/>
    </row>
    <row r="296" spans="9:14" x14ac:dyDescent="0.3">
      <c r="I296" s="39"/>
      <c r="J296" s="39"/>
      <c r="K296" s="39"/>
      <c r="M296"/>
      <c r="N296"/>
    </row>
    <row r="297" spans="9:14" x14ac:dyDescent="0.3">
      <c r="I297" s="39"/>
      <c r="J297" s="39"/>
      <c r="K297" s="39"/>
      <c r="M297"/>
      <c r="N297"/>
    </row>
    <row r="298" spans="9:14" x14ac:dyDescent="0.3">
      <c r="I298" s="39"/>
      <c r="J298" s="39"/>
      <c r="K298" s="39"/>
      <c r="M298"/>
      <c r="N298"/>
    </row>
    <row r="299" spans="9:14" x14ac:dyDescent="0.3">
      <c r="I299" s="39"/>
      <c r="J299" s="39"/>
      <c r="K299" s="39"/>
      <c r="M299"/>
      <c r="N299"/>
    </row>
    <row r="300" spans="9:14" x14ac:dyDescent="0.3">
      <c r="I300" s="39"/>
      <c r="J300" s="39"/>
      <c r="K300" s="39"/>
      <c r="M300"/>
      <c r="N300"/>
    </row>
    <row r="301" spans="9:14" x14ac:dyDescent="0.3">
      <c r="I301" s="39"/>
      <c r="J301" s="39"/>
      <c r="K301" s="39"/>
      <c r="M301"/>
      <c r="N301"/>
    </row>
    <row r="302" spans="9:14" x14ac:dyDescent="0.3">
      <c r="I302" s="39"/>
      <c r="J302" s="39"/>
      <c r="K302" s="39"/>
      <c r="M302"/>
      <c r="N302"/>
    </row>
    <row r="303" spans="9:14" x14ac:dyDescent="0.3">
      <c r="I303" s="39"/>
      <c r="J303" s="39"/>
      <c r="K303" s="39"/>
      <c r="M303"/>
      <c r="N303"/>
    </row>
    <row r="304" spans="9:14" x14ac:dyDescent="0.3">
      <c r="I304" s="39"/>
      <c r="J304" s="39"/>
      <c r="K304" s="39"/>
      <c r="M304"/>
      <c r="N304"/>
    </row>
    <row r="964" spans="15:18" x14ac:dyDescent="0.3">
      <c r="O964" s="1"/>
      <c r="Q964" s="1"/>
      <c r="R964" s="1"/>
    </row>
    <row r="965" spans="15:18" x14ac:dyDescent="0.3">
      <c r="O965" s="1"/>
      <c r="Q965" s="1"/>
      <c r="R965" s="1"/>
    </row>
    <row r="966" spans="15:18" x14ac:dyDescent="0.3">
      <c r="O966" s="1"/>
      <c r="Q966" s="1"/>
      <c r="R966" s="1"/>
    </row>
    <row r="967" spans="15:18" x14ac:dyDescent="0.3">
      <c r="O967" s="1"/>
      <c r="Q967" s="1"/>
      <c r="R967" s="1"/>
    </row>
    <row r="968" spans="15:18" x14ac:dyDescent="0.3">
      <c r="O968" s="1"/>
      <c r="Q968" s="1"/>
      <c r="R968" s="1"/>
    </row>
  </sheetData>
  <sheetProtection algorithmName="SHA-512" hashValue="MEJH+QbP9zBtU3NVO4LRofhXcrnYZNnIs0u89I1QH1nTGT6uVm6M9LT65pceQ0VrEDGmyNdIKSRiBRi8luWk9A==" saltValue="55luuftVtsPQTbfTZVflYA==" spinCount="100000" sheet="1" selectLockedCells="1"/>
  <mergeCells count="19">
    <mergeCell ref="H142:J142"/>
    <mergeCell ref="H143:J143"/>
    <mergeCell ref="E120:F120"/>
    <mergeCell ref="A183:A188"/>
    <mergeCell ref="A158:A182"/>
    <mergeCell ref="B184:H188"/>
    <mergeCell ref="A23:A61"/>
    <mergeCell ref="J1:P1"/>
    <mergeCell ref="J2:P2"/>
    <mergeCell ref="A62:A98"/>
    <mergeCell ref="H134:J134"/>
    <mergeCell ref="E92:F92"/>
    <mergeCell ref="E93:F93"/>
    <mergeCell ref="E96:F96"/>
    <mergeCell ref="A99:A157"/>
    <mergeCell ref="E149:J150"/>
    <mergeCell ref="H135:J135"/>
    <mergeCell ref="H140:J140"/>
    <mergeCell ref="H141:J141"/>
  </mergeCells>
  <conditionalFormatting sqref="B171">
    <cfRule type="expression" dxfId="29" priority="3">
      <formula>$P$171=0</formula>
    </cfRule>
  </conditionalFormatting>
  <conditionalFormatting sqref="J1:K2">
    <cfRule type="cellIs" dxfId="28" priority="1" operator="equal">
      <formula>0</formula>
    </cfRule>
    <cfRule type="cellIs" dxfId="27" priority="2" operator="greaterThan">
      <formula>0</formula>
    </cfRule>
  </conditionalFormatting>
  <conditionalFormatting sqref="P171">
    <cfRule type="cellIs" dxfId="26" priority="4" operator="equal">
      <formula>0</formula>
    </cfRule>
    <cfRule type="cellIs" dxfId="25" priority="5" operator="greaterThan">
      <formula>0</formula>
    </cfRule>
  </conditionalFormatting>
  <dataValidations count="1">
    <dataValidation type="list" allowBlank="1" showInputMessage="1" showErrorMessage="1" sqref="C151" xr:uid="{00000000-0002-0000-0100-000001000000}">
      <formula1>#REF!</formula1>
    </dataValidation>
  </dataValidations>
  <hyperlinks>
    <hyperlink ref="B7" location="'NOC Services (ExhibitB)'!A197" display="Notes" xr:uid="{00000000-0004-0000-0100-000000000000}"/>
    <hyperlink ref="B6" location="'NOC Services (ExhibitB)'!A160" display="Order Summary" xr:uid="{00000000-0004-0000-0100-000001000000}"/>
    <hyperlink ref="B4" location="'NOC Services (ExhibitB)'!A74" display="UTM" xr:uid="{00000000-0004-0000-0100-000003000000}"/>
    <hyperlink ref="B2" location="'NOC Services (ExhibitB)'!B15" display="Workstation/Server Support" xr:uid="{00000000-0004-0000-0100-000005000000}"/>
    <hyperlink ref="B3" location="'NOC Services (ExhibitB)'!A30" display="Backup" xr:uid="{00000000-0004-0000-0100-000006000000}"/>
    <hyperlink ref="B5" location="'NOC Services (ExhibitB)'!A110" display="Additional Elective Offerings" xr:uid="{00000000-0004-0000-0100-000002000000}"/>
  </hyperlinks>
  <printOptions horizontalCentered="1"/>
  <pageMargins left="0.25" right="0.25" top="1" bottom="0.5" header="0.3" footer="0.1"/>
  <pageSetup scale="32" fitToHeight="0" orientation="portrait" r:id="rId1"/>
  <headerFooter>
    <oddHeader>&amp;C&amp;"-,Bold"&amp;30Collabrance Price Schedule&amp;"-,Regular"&amp;11
&amp;"-,Bold"Exhibit B</oddHeader>
    <oddFooter>&amp;L&amp;10All prices are based on monthly billing cycle.
This document is proprietary and confidential
&amp;R&amp;10Questions? Call 877-715-8485
&amp;F
Page &amp;P</oddFooter>
  </headerFooter>
  <ignoredErrors>
    <ignoredError sqref="B169" unlockedFormula="1"/>
  </ignoredErrors>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5000000}">
          <x14:formula1>
            <xm:f>Lookups!$B$39:$B$42</xm:f>
          </x14:formula1>
          <xm:sqref>F10</xm:sqref>
        </x14:dataValidation>
        <x14:dataValidation type="list" allowBlank="1" showInputMessage="1" showErrorMessage="1" xr:uid="{00000000-0002-0000-0100-000006000000}">
          <x14:formula1>
            <xm:f>Lookups!$B$46:$B$47</xm:f>
          </x14:formula1>
          <xm:sqref>C102</xm:sqref>
        </x14:dataValidation>
        <x14:dataValidation type="list" allowBlank="1" showInputMessage="1" showErrorMessage="1" xr:uid="{784568BA-41ED-4AD8-BEAA-A310C0260BF1}">
          <x14:formula1>
            <xm:f>Lookups!$B$51:$B$53</xm:f>
          </x14:formula1>
          <xm:sqref>C53 C26 C32 C35:C40 C46:C49 C29</xm:sqref>
        </x14:dataValidation>
        <x14:dataValidation type="list" allowBlank="1" showInputMessage="1" showErrorMessage="1" xr:uid="{7A4B9BB0-CAD5-4D16-88C2-2F747FDB2DD6}">
          <x14:formula1>
            <xm:f>Lookups!$B$62:$B$63</xm:f>
          </x14:formula1>
          <xm:sqref>D26 D32 D35:D40 D46:D49 D29 D53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G1115"/>
  <sheetViews>
    <sheetView showGridLines="0" tabSelected="1" zoomScale="80" zoomScaleNormal="80" zoomScaleSheetLayoutView="80" workbookViewId="0">
      <pane xSplit="1" ySplit="12" topLeftCell="B13" activePane="bottomRight" state="frozen"/>
      <selection pane="topRight" activeCell="A11" sqref="A11:A71"/>
      <selection pane="bottomLeft" activeCell="A11" sqref="A11:A71"/>
      <selection pane="bottomRight" activeCell="F4" sqref="F4"/>
    </sheetView>
  </sheetViews>
  <sheetFormatPr defaultColWidth="17.5546875" defaultRowHeight="14.4" x14ac:dyDescent="0.3"/>
  <cols>
    <col min="1" max="1" width="1.5546875" customWidth="1"/>
    <col min="2" max="2" width="26.5546875" style="38" customWidth="1"/>
    <col min="3" max="3" width="22.5546875" style="38" customWidth="1"/>
    <col min="4" max="4" width="18" customWidth="1"/>
    <col min="5" max="5" width="40.5546875" customWidth="1"/>
    <col min="6" max="6" width="42.5546875" customWidth="1"/>
    <col min="7" max="7" width="15.5546875" customWidth="1"/>
    <col min="8" max="8" width="20.5546875" customWidth="1"/>
    <col min="9" max="9" width="29.88671875" bestFit="1" customWidth="1"/>
    <col min="10" max="11" width="20.5546875" customWidth="1"/>
    <col min="12" max="12" width="3.5546875" style="39" customWidth="1"/>
    <col min="13" max="14" width="15" style="39" customWidth="1"/>
    <col min="15" max="15" width="15" customWidth="1"/>
    <col min="16" max="16" width="14.5546875" style="39" customWidth="1"/>
    <col min="17" max="17" width="2.44140625" customWidth="1"/>
    <col min="18" max="18" width="12.5546875" customWidth="1"/>
    <col min="19" max="19" width="15.44140625" customWidth="1"/>
    <col min="20" max="20" width="18.5546875" customWidth="1"/>
  </cols>
  <sheetData>
    <row r="1" spans="1:33" ht="15.9" customHeight="1" x14ac:dyDescent="0.3">
      <c r="A1" s="262"/>
      <c r="B1" s="232" t="s">
        <v>54</v>
      </c>
      <c r="E1" s="273"/>
      <c r="F1" s="272" t="s">
        <v>55</v>
      </c>
      <c r="G1" s="273"/>
      <c r="H1" s="273"/>
      <c r="J1" s="450">
        <f>IF((Lookups!C11+Lookups!C13)&gt;0,"Caution: You also have services selected in other Exhibit B tab(s)",0)</f>
        <v>0</v>
      </c>
      <c r="K1" s="450"/>
      <c r="L1" s="450"/>
      <c r="M1" s="450"/>
      <c r="N1" s="450"/>
      <c r="O1" s="450"/>
      <c r="P1" s="450"/>
    </row>
    <row r="2" spans="1:33" ht="15.9" customHeight="1" x14ac:dyDescent="0.3">
      <c r="A2" s="262"/>
      <c r="B2" s="234" t="s">
        <v>270</v>
      </c>
      <c r="E2" s="273"/>
      <c r="F2" s="272" t="s">
        <v>57</v>
      </c>
      <c r="G2" s="273"/>
      <c r="H2" s="273"/>
      <c r="J2" s="468">
        <f>IF(J1=0,0,"Please zero those out if you're submitting a NOC + Service Desk order")</f>
        <v>0</v>
      </c>
      <c r="K2" s="468"/>
      <c r="L2" s="468"/>
      <c r="M2" s="468"/>
      <c r="N2" s="468"/>
      <c r="O2" s="468"/>
      <c r="P2" s="468"/>
    </row>
    <row r="3" spans="1:33" ht="15.9" customHeight="1" x14ac:dyDescent="0.5">
      <c r="A3" s="262"/>
      <c r="B3" s="234" t="s">
        <v>58</v>
      </c>
      <c r="E3" s="273"/>
      <c r="F3" s="272" t="s">
        <v>271</v>
      </c>
      <c r="G3" s="273"/>
      <c r="H3" s="273"/>
      <c r="I3" s="139"/>
      <c r="J3" s="468"/>
      <c r="K3" s="468"/>
      <c r="L3" s="468"/>
      <c r="M3" s="468"/>
      <c r="N3" s="468"/>
      <c r="O3" s="468"/>
      <c r="P3" s="468"/>
    </row>
    <row r="4" spans="1:33" ht="15.9" customHeight="1" x14ac:dyDescent="0.35">
      <c r="A4" s="262"/>
      <c r="B4" s="234" t="s">
        <v>60</v>
      </c>
      <c r="E4" s="205" t="s">
        <v>61</v>
      </c>
      <c r="F4" s="41"/>
      <c r="G4" s="42"/>
      <c r="H4" s="42"/>
      <c r="I4" s="42"/>
      <c r="J4" s="42"/>
      <c r="K4" s="42"/>
      <c r="L4"/>
      <c r="M4"/>
      <c r="N4"/>
      <c r="P4"/>
    </row>
    <row r="5" spans="1:33" ht="15.9" customHeight="1" x14ac:dyDescent="0.35">
      <c r="A5" s="262"/>
      <c r="B5" s="234" t="s">
        <v>272</v>
      </c>
      <c r="C5" s="235"/>
      <c r="E5" s="205" t="s">
        <v>63</v>
      </c>
      <c r="F5" s="41"/>
      <c r="G5" s="42"/>
      <c r="H5" s="42"/>
      <c r="I5" s="42"/>
      <c r="J5" s="42"/>
      <c r="K5" s="42"/>
      <c r="L5"/>
      <c r="M5"/>
      <c r="N5"/>
      <c r="P5"/>
    </row>
    <row r="6" spans="1:33" ht="15.9" customHeight="1" x14ac:dyDescent="0.35">
      <c r="A6" s="262"/>
      <c r="B6" s="234" t="s">
        <v>62</v>
      </c>
      <c r="D6" s="173"/>
      <c r="E6" s="205" t="s">
        <v>65</v>
      </c>
      <c r="F6" s="41"/>
      <c r="G6" s="42"/>
      <c r="H6" s="42"/>
      <c r="I6" s="42"/>
      <c r="J6" s="42"/>
      <c r="K6" s="42"/>
      <c r="L6"/>
      <c r="M6"/>
      <c r="N6"/>
      <c r="P6"/>
    </row>
    <row r="7" spans="1:33" ht="15.9" customHeight="1" x14ac:dyDescent="0.35">
      <c r="A7" s="262"/>
      <c r="B7" s="234" t="s">
        <v>64</v>
      </c>
      <c r="D7" s="173"/>
      <c r="E7" s="205" t="s">
        <v>67</v>
      </c>
      <c r="F7" s="41"/>
      <c r="G7" s="42"/>
      <c r="H7" s="42"/>
      <c r="I7" s="42"/>
      <c r="J7" s="42"/>
      <c r="K7" s="42"/>
      <c r="L7"/>
      <c r="M7"/>
      <c r="N7"/>
      <c r="P7"/>
    </row>
    <row r="8" spans="1:33" ht="15.9" customHeight="1" thickBot="1" x14ac:dyDescent="0.4">
      <c r="A8" s="262"/>
      <c r="B8" s="257" t="s">
        <v>66</v>
      </c>
      <c r="D8" s="173"/>
      <c r="E8" s="205" t="s">
        <v>68</v>
      </c>
      <c r="F8" s="43"/>
      <c r="G8" s="42"/>
      <c r="H8" s="42"/>
      <c r="I8" s="42"/>
      <c r="J8" s="42"/>
      <c r="K8" s="42"/>
      <c r="L8"/>
      <c r="M8"/>
      <c r="N8"/>
      <c r="P8"/>
    </row>
    <row r="9" spans="1:33" ht="15.9" customHeight="1" x14ac:dyDescent="0.35">
      <c r="A9" s="262"/>
      <c r="B9" s="426"/>
      <c r="D9" s="173"/>
      <c r="E9" s="205" t="s">
        <v>69</v>
      </c>
      <c r="F9" s="43"/>
      <c r="G9" s="42"/>
      <c r="H9" s="42"/>
      <c r="I9" s="42"/>
      <c r="J9" s="42"/>
      <c r="K9" s="42"/>
      <c r="L9"/>
      <c r="M9"/>
      <c r="N9"/>
      <c r="P9"/>
    </row>
    <row r="10" spans="1:33" ht="15.9" customHeight="1" x14ac:dyDescent="0.35">
      <c r="A10" s="1"/>
      <c r="C10"/>
      <c r="D10" s="173"/>
      <c r="E10" s="205" t="s">
        <v>70</v>
      </c>
      <c r="F10" s="43"/>
      <c r="G10" s="212" t="str">
        <f>IFERROR(VLOOKUP(F10,Lookups!$B$40:$C$42,2,FALSE),"")</f>
        <v/>
      </c>
      <c r="H10" s="42"/>
      <c r="I10" s="42"/>
      <c r="J10" s="42"/>
      <c r="K10" s="42"/>
      <c r="L10"/>
      <c r="M10"/>
      <c r="N10"/>
      <c r="P10" s="335" t="s">
        <v>71</v>
      </c>
    </row>
    <row r="11" spans="1:33" ht="15.9" customHeight="1" x14ac:dyDescent="0.35">
      <c r="A11" s="1"/>
      <c r="B11" s="389"/>
      <c r="C11"/>
      <c r="D11" s="173"/>
      <c r="E11" s="205" t="s">
        <v>72</v>
      </c>
      <c r="F11" s="41"/>
      <c r="G11" s="212"/>
      <c r="H11" s="42"/>
      <c r="I11" s="42"/>
      <c r="J11" s="42"/>
      <c r="K11" s="42"/>
      <c r="L11"/>
      <c r="M11"/>
      <c r="N11"/>
      <c r="P11" s="335"/>
    </row>
    <row r="12" spans="1:33" ht="15" customHeight="1" x14ac:dyDescent="0.3">
      <c r="A12" s="1"/>
      <c r="B12" s="160" t="s">
        <v>73</v>
      </c>
      <c r="C12" s="44"/>
      <c r="D12" s="1"/>
      <c r="E12" s="382"/>
      <c r="F12" s="45"/>
      <c r="G12" s="40"/>
      <c r="H12" s="1"/>
      <c r="I12" s="1"/>
      <c r="J12" s="1"/>
      <c r="K12" s="1"/>
      <c r="L12" s="46"/>
      <c r="M12" s="279" t="s">
        <v>74</v>
      </c>
      <c r="N12" s="299" t="s">
        <v>75</v>
      </c>
      <c r="O12" s="299" t="s">
        <v>76</v>
      </c>
      <c r="P12" s="299" t="s">
        <v>77</v>
      </c>
    </row>
    <row r="13" spans="1:33" ht="15" customHeight="1" x14ac:dyDescent="0.3">
      <c r="A13" s="487"/>
      <c r="B13" s="255"/>
      <c r="C13" s="204"/>
      <c r="D13" s="157" t="s">
        <v>273</v>
      </c>
      <c r="E13" s="47"/>
      <c r="F13" s="47"/>
      <c r="G13" s="47"/>
      <c r="H13" s="48"/>
      <c r="I13" s="48"/>
      <c r="J13" s="49"/>
      <c r="K13" s="49"/>
      <c r="L13" s="170"/>
      <c r="M13" s="280">
        <f>SUM(M14:M24)</f>
        <v>0</v>
      </c>
      <c r="N13" s="300">
        <f>SUM(N14:N24)</f>
        <v>0</v>
      </c>
      <c r="O13" s="300">
        <f>SUM(O14:O24)</f>
        <v>0</v>
      </c>
      <c r="P13" s="300">
        <f>SUM(P14:P24)</f>
        <v>0</v>
      </c>
    </row>
    <row r="14" spans="1:33" ht="15" customHeight="1" x14ac:dyDescent="0.3">
      <c r="A14" s="487"/>
      <c r="B14" s="162"/>
      <c r="C14" s="162"/>
      <c r="D14" s="159"/>
      <c r="E14" s="183" t="s">
        <v>274</v>
      </c>
      <c r="F14" s="110"/>
      <c r="G14" s="110"/>
      <c r="H14" s="111"/>
      <c r="I14" s="177"/>
      <c r="J14" s="112"/>
      <c r="K14" s="112"/>
      <c r="L14" s="171"/>
      <c r="M14" s="281"/>
      <c r="N14" s="301"/>
      <c r="O14" s="301"/>
      <c r="P14" s="301"/>
    </row>
    <row r="15" spans="1:33" x14ac:dyDescent="0.3">
      <c r="A15" s="487"/>
      <c r="D15" s="1"/>
      <c r="G15" s="42"/>
      <c r="H15" s="42"/>
      <c r="I15" s="42"/>
      <c r="J15" s="1"/>
      <c r="K15" s="1"/>
      <c r="L15" s="62"/>
      <c r="M15" s="284"/>
      <c r="N15" s="304"/>
      <c r="O15" s="304"/>
      <c r="P15" s="304"/>
    </row>
    <row r="16" spans="1:33" x14ac:dyDescent="0.3">
      <c r="A16" s="487"/>
      <c r="B16" s="52">
        <v>0</v>
      </c>
      <c r="C16" s="53" t="s">
        <v>275</v>
      </c>
      <c r="D16" s="1"/>
      <c r="E16" s="54" t="s">
        <v>276</v>
      </c>
      <c r="F16" s="55"/>
      <c r="G16" s="394" t="s">
        <v>277</v>
      </c>
      <c r="H16" s="438">
        <v>22</v>
      </c>
      <c r="I16" s="77" t="s">
        <v>83</v>
      </c>
      <c r="J16" s="77"/>
      <c r="K16" s="77"/>
      <c r="L16" s="37"/>
      <c r="M16" s="282"/>
      <c r="N16" s="302"/>
      <c r="O16" s="302"/>
      <c r="P16" s="302">
        <f>B16*H16</f>
        <v>0</v>
      </c>
      <c r="AF16" s="57"/>
      <c r="AG16" s="57"/>
    </row>
    <row r="17" spans="1:33" x14ac:dyDescent="0.3">
      <c r="A17" s="487"/>
      <c r="B17" s="52">
        <v>0</v>
      </c>
      <c r="C17" s="53" t="s">
        <v>275</v>
      </c>
      <c r="D17" s="1"/>
      <c r="E17" s="54" t="s">
        <v>278</v>
      </c>
      <c r="F17" s="55"/>
      <c r="G17" s="394"/>
      <c r="H17" s="438">
        <v>10</v>
      </c>
      <c r="I17" s="77" t="s">
        <v>83</v>
      </c>
      <c r="J17" s="77"/>
      <c r="K17" s="77"/>
      <c r="L17" s="37"/>
      <c r="M17" s="282"/>
      <c r="N17" s="302"/>
      <c r="O17" s="302"/>
      <c r="P17" s="302">
        <f>B17*H17</f>
        <v>0</v>
      </c>
      <c r="AF17" s="57"/>
      <c r="AG17" s="57"/>
    </row>
    <row r="18" spans="1:33" x14ac:dyDescent="0.3">
      <c r="A18" s="487"/>
      <c r="B18" s="52">
        <v>0</v>
      </c>
      <c r="C18" s="53" t="s">
        <v>128</v>
      </c>
      <c r="D18" s="1"/>
      <c r="E18" s="54" t="s">
        <v>81</v>
      </c>
      <c r="F18" s="55"/>
      <c r="G18" s="394" t="s">
        <v>82</v>
      </c>
      <c r="H18" s="438">
        <v>11</v>
      </c>
      <c r="I18" s="77" t="s">
        <v>83</v>
      </c>
      <c r="J18" s="77"/>
      <c r="K18" s="77"/>
      <c r="L18" s="37"/>
      <c r="M18" s="282"/>
      <c r="N18" s="302"/>
      <c r="O18" s="302"/>
      <c r="P18" s="302">
        <f>B18*H18</f>
        <v>0</v>
      </c>
      <c r="AF18" s="57"/>
      <c r="AG18" s="57"/>
    </row>
    <row r="19" spans="1:33" x14ac:dyDescent="0.3">
      <c r="A19" s="487"/>
      <c r="B19" s="38">
        <f>IF(F10=Lookups!B41,0,B16)</f>
        <v>0</v>
      </c>
      <c r="C19" s="53" t="s">
        <v>275</v>
      </c>
      <c r="D19" s="1"/>
      <c r="E19" s="54" t="s">
        <v>279</v>
      </c>
      <c r="F19" s="150"/>
      <c r="G19" s="59" t="s">
        <v>280</v>
      </c>
      <c r="H19" s="438">
        <v>36.75</v>
      </c>
      <c r="I19" s="77" t="s">
        <v>86</v>
      </c>
      <c r="J19" s="77"/>
      <c r="K19" s="77"/>
      <c r="L19" s="105"/>
      <c r="M19" s="282">
        <f>+H19*B19</f>
        <v>0</v>
      </c>
      <c r="N19" s="302"/>
      <c r="O19" s="302"/>
      <c r="P19" s="302"/>
    </row>
    <row r="20" spans="1:33" x14ac:dyDescent="0.3">
      <c r="A20" s="487"/>
      <c r="C20" s="36"/>
      <c r="D20" s="1"/>
      <c r="E20" s="60" t="s">
        <v>281</v>
      </c>
      <c r="F20" s="45"/>
      <c r="G20" s="45"/>
      <c r="H20" s="61"/>
      <c r="I20" s="58"/>
      <c r="J20" s="1"/>
      <c r="K20" s="1"/>
      <c r="L20" s="62"/>
      <c r="M20" s="284"/>
      <c r="N20" s="304"/>
      <c r="O20" s="304"/>
      <c r="P20" s="304"/>
      <c r="AF20" s="57"/>
      <c r="AG20" s="57"/>
    </row>
    <row r="21" spans="1:33" x14ac:dyDescent="0.3">
      <c r="A21" s="487"/>
      <c r="B21"/>
      <c r="C21"/>
      <c r="E21" s="60"/>
      <c r="G21" s="45"/>
      <c r="H21" s="61"/>
      <c r="I21" s="58"/>
      <c r="J21" s="1"/>
      <c r="K21" s="1"/>
      <c r="L21" s="62"/>
      <c r="M21" s="284"/>
      <c r="N21" s="304"/>
      <c r="O21" s="304"/>
      <c r="P21" s="304"/>
      <c r="AF21" s="57"/>
      <c r="AG21" s="57"/>
    </row>
    <row r="22" spans="1:33" ht="15" customHeight="1" x14ac:dyDescent="0.3">
      <c r="A22" s="487"/>
      <c r="B22" s="162"/>
      <c r="C22" s="162"/>
      <c r="D22" s="159"/>
      <c r="E22" s="159" t="s">
        <v>87</v>
      </c>
      <c r="F22" s="110"/>
      <c r="G22" s="110"/>
      <c r="H22" s="111"/>
      <c r="I22" s="177"/>
      <c r="J22" s="112"/>
      <c r="K22" s="112"/>
      <c r="L22" s="171"/>
      <c r="M22" s="281"/>
      <c r="N22" s="301"/>
      <c r="O22" s="301"/>
      <c r="P22" s="301"/>
    </row>
    <row r="23" spans="1:33" x14ac:dyDescent="0.3">
      <c r="A23" s="487"/>
      <c r="B23" s="52">
        <v>0</v>
      </c>
      <c r="C23" s="53" t="s">
        <v>88</v>
      </c>
      <c r="D23" s="1"/>
      <c r="E23" s="54" t="s">
        <v>89</v>
      </c>
      <c r="F23" s="55"/>
      <c r="G23" s="394" t="s">
        <v>90</v>
      </c>
      <c r="H23" s="438">
        <v>55</v>
      </c>
      <c r="I23" s="77" t="s">
        <v>83</v>
      </c>
      <c r="J23" s="1"/>
      <c r="K23" s="1"/>
      <c r="L23" s="37"/>
      <c r="M23" s="282"/>
      <c r="N23" s="302"/>
      <c r="O23" s="302"/>
      <c r="P23" s="302">
        <f>+H23*B23</f>
        <v>0</v>
      </c>
      <c r="AF23" s="57"/>
      <c r="AG23" s="57"/>
    </row>
    <row r="24" spans="1:33" x14ac:dyDescent="0.3">
      <c r="A24" s="487"/>
      <c r="B24" s="36"/>
      <c r="C24" s="36"/>
      <c r="D24" s="1"/>
      <c r="E24" s="60"/>
      <c r="F24" s="45"/>
      <c r="G24" s="45"/>
      <c r="H24" s="58"/>
      <c r="I24" s="58"/>
      <c r="J24" s="1"/>
      <c r="K24" s="1"/>
      <c r="L24" s="37"/>
      <c r="M24" s="282"/>
      <c r="N24" s="302"/>
      <c r="O24" s="316"/>
      <c r="P24" s="316"/>
      <c r="AF24" s="57"/>
      <c r="AG24" s="57"/>
    </row>
    <row r="25" spans="1:33" ht="15" customHeight="1" x14ac:dyDescent="0.3">
      <c r="A25" s="393"/>
      <c r="C25" s="36"/>
      <c r="D25" s="1"/>
      <c r="E25" s="122"/>
      <c r="F25" s="122"/>
      <c r="H25" s="1"/>
      <c r="I25" s="74"/>
      <c r="J25" s="181"/>
      <c r="K25" s="181"/>
      <c r="L25" s="37"/>
      <c r="M25" s="282"/>
      <c r="N25" s="302"/>
      <c r="O25" s="302"/>
      <c r="P25" s="302"/>
    </row>
    <row r="26" spans="1:33" ht="15.6" x14ac:dyDescent="0.3">
      <c r="A26" s="458"/>
      <c r="B26" s="255"/>
      <c r="C26" s="204"/>
      <c r="D26" s="157" t="s">
        <v>92</v>
      </c>
      <c r="E26" s="47"/>
      <c r="F26" s="47"/>
      <c r="G26" s="47"/>
      <c r="H26" s="48" t="s">
        <v>83</v>
      </c>
      <c r="I26" s="48" t="s">
        <v>83</v>
      </c>
      <c r="J26" s="48" t="s">
        <v>83</v>
      </c>
      <c r="K26" s="48"/>
      <c r="L26" s="170"/>
      <c r="M26" s="280">
        <f>SUM(M27:M60)</f>
        <v>0</v>
      </c>
      <c r="N26" s="300">
        <f>SUM(N27:N60)</f>
        <v>0</v>
      </c>
      <c r="O26" s="300">
        <f>SUM(O27:O60)</f>
        <v>0</v>
      </c>
      <c r="P26" s="300">
        <f>SUM(P27:P60)</f>
        <v>0</v>
      </c>
      <c r="AF26" s="57"/>
      <c r="AG26" s="57"/>
    </row>
    <row r="27" spans="1:33" ht="15" customHeight="1" x14ac:dyDescent="0.3">
      <c r="A27" s="458"/>
      <c r="B27" s="162"/>
      <c r="C27" s="162"/>
      <c r="D27" s="159"/>
      <c r="E27" s="159" t="s">
        <v>94</v>
      </c>
      <c r="F27" s="110"/>
      <c r="G27" s="110"/>
      <c r="H27" s="111"/>
      <c r="I27" s="177"/>
      <c r="J27" s="177"/>
      <c r="K27" s="112"/>
      <c r="L27" s="171"/>
      <c r="M27" s="281"/>
      <c r="N27" s="301"/>
      <c r="O27" s="301"/>
      <c r="P27" s="301"/>
    </row>
    <row r="28" spans="1:33" x14ac:dyDescent="0.3">
      <c r="A28" s="458"/>
      <c r="B28" s="161" t="s">
        <v>95</v>
      </c>
      <c r="C28" s="65" t="s">
        <v>96</v>
      </c>
      <c r="D28" s="161" t="s">
        <v>97</v>
      </c>
      <c r="E28" s="367" t="s">
        <v>98</v>
      </c>
      <c r="F28" s="67"/>
      <c r="G28" s="153"/>
      <c r="H28" s="68" t="s">
        <v>99</v>
      </c>
      <c r="I28" s="68" t="s">
        <v>100</v>
      </c>
      <c r="J28" s="68" t="s">
        <v>101</v>
      </c>
      <c r="K28" s="68" t="s">
        <v>97</v>
      </c>
      <c r="L28" s="69"/>
      <c r="M28" s="282"/>
      <c r="N28" s="302"/>
      <c r="O28" s="302"/>
      <c r="P28" s="445"/>
      <c r="AF28" s="57"/>
      <c r="AG28" s="57"/>
    </row>
    <row r="29" spans="1:33" x14ac:dyDescent="0.3">
      <c r="A29" s="458"/>
      <c r="B29" s="52">
        <v>0</v>
      </c>
      <c r="C29" s="70" t="s">
        <v>99</v>
      </c>
      <c r="D29" s="52" t="s">
        <v>102</v>
      </c>
      <c r="E29" s="368" t="s">
        <v>103</v>
      </c>
      <c r="F29" s="118"/>
      <c r="G29" s="71" t="str">
        <f>IF(C29=Lookups!$B$51,"DPR-2900",IF(C29=Lookups!$B$52,"DPR-2901","DPR-2902"))</f>
        <v>DPR-2900</v>
      </c>
      <c r="H29" s="438">
        <v>123</v>
      </c>
      <c r="I29" s="438">
        <v>149</v>
      </c>
      <c r="J29" s="438">
        <v>159</v>
      </c>
      <c r="K29" s="438">
        <v>84</v>
      </c>
      <c r="L29" s="345"/>
      <c r="M29" s="282"/>
      <c r="N29" s="302"/>
      <c r="O29" s="302"/>
      <c r="P29" s="445">
        <f>IF(AND(B29&gt;0,D29="Yes"),IF(C29=$H$28,($B29*H29)+(B29*K29),IF(C29=$I$28,($B29*I29)+(B29*K29),IF(C29=$J$28,($B29*J29)+(B29*K29),B29*J29))),IF(AND(B29&gt;0,D29="No"),IF(C29=$H$28,($B29*H29),IF(C29=$I$28,($B29*I29),IF(C29=$J$28,($B29*J29),B29*J29))),0))</f>
        <v>0</v>
      </c>
    </row>
    <row r="30" spans="1:33" x14ac:dyDescent="0.3">
      <c r="A30" s="458"/>
      <c r="B30" s="99"/>
      <c r="C30" s="73"/>
      <c r="D30" s="66"/>
      <c r="E30" s="75"/>
      <c r="F30" s="88"/>
      <c r="G30" s="76"/>
      <c r="H30" s="77"/>
      <c r="I30" s="77"/>
      <c r="J30" s="77"/>
      <c r="K30" s="77"/>
      <c r="L30" s="69"/>
      <c r="M30" s="282"/>
      <c r="N30" s="302"/>
      <c r="O30" s="302"/>
      <c r="P30" s="445"/>
    </row>
    <row r="31" spans="1:33" x14ac:dyDescent="0.3">
      <c r="A31" s="458"/>
      <c r="B31" s="161" t="s">
        <v>95</v>
      </c>
      <c r="C31" s="65" t="s">
        <v>96</v>
      </c>
      <c r="D31" s="161" t="s">
        <v>97</v>
      </c>
      <c r="E31" s="367" t="s">
        <v>104</v>
      </c>
      <c r="F31" s="67"/>
      <c r="G31" s="153"/>
      <c r="H31" s="68" t="s">
        <v>99</v>
      </c>
      <c r="I31" s="68" t="s">
        <v>100</v>
      </c>
      <c r="J31" s="68" t="s">
        <v>101</v>
      </c>
      <c r="K31" s="68" t="s">
        <v>97</v>
      </c>
      <c r="L31" s="69"/>
      <c r="M31" s="282"/>
      <c r="N31" s="302"/>
      <c r="O31" s="302"/>
      <c r="P31" s="445"/>
      <c r="AF31" s="57"/>
      <c r="AG31" s="57"/>
    </row>
    <row r="32" spans="1:33" x14ac:dyDescent="0.3">
      <c r="A32" s="458"/>
      <c r="B32" s="52">
        <v>0</v>
      </c>
      <c r="C32" s="70" t="s">
        <v>99</v>
      </c>
      <c r="D32" s="52" t="s">
        <v>102</v>
      </c>
      <c r="E32" s="368" t="s">
        <v>105</v>
      </c>
      <c r="F32" s="118"/>
      <c r="G32" s="71"/>
      <c r="H32" s="438">
        <v>246</v>
      </c>
      <c r="I32" s="438">
        <v>298</v>
      </c>
      <c r="J32" s="438">
        <v>318</v>
      </c>
      <c r="K32" s="438">
        <v>105</v>
      </c>
      <c r="L32" s="345"/>
      <c r="M32" s="282"/>
      <c r="N32" s="302"/>
      <c r="O32" s="302"/>
      <c r="P32" s="445">
        <f>IF(AND(B32&gt;0,D32="Yes"),IF(C32=$H$31,($B32*H32)+(B32*K32),IF(C32=$I$31,($B32*I32)+(B32*K32),IF(C32=$J$31,($B32*J32)+(B32*K32),B32*J32))),IF(AND(B32&gt;0,D32="No"),IF(C32=$H$31,($B32*H32),IF(C32=$I$31,($B32*I32),IF(C32=$J$31,($B32*J32),B32*J32))),0))</f>
        <v>0</v>
      </c>
    </row>
    <row r="33" spans="1:18" x14ac:dyDescent="0.3">
      <c r="A33" s="458"/>
      <c r="B33" s="99"/>
      <c r="C33" s="73"/>
      <c r="D33" s="66"/>
      <c r="E33" s="75"/>
      <c r="F33" s="88"/>
      <c r="G33" s="76"/>
      <c r="H33" s="77"/>
      <c r="I33" s="77"/>
      <c r="J33" s="77"/>
      <c r="K33" s="77"/>
      <c r="L33" s="69"/>
      <c r="M33" s="282"/>
      <c r="N33" s="302"/>
      <c r="O33" s="302"/>
      <c r="P33" s="445"/>
    </row>
    <row r="34" spans="1:18" x14ac:dyDescent="0.3">
      <c r="A34" s="458"/>
      <c r="B34" s="161" t="s">
        <v>106</v>
      </c>
      <c r="C34" s="65" t="s">
        <v>96</v>
      </c>
      <c r="D34" s="161" t="s">
        <v>97</v>
      </c>
      <c r="E34" s="367" t="s">
        <v>107</v>
      </c>
      <c r="F34" s="67"/>
      <c r="G34" s="153"/>
      <c r="H34" s="68" t="s">
        <v>99</v>
      </c>
      <c r="I34" s="68" t="s">
        <v>100</v>
      </c>
      <c r="J34" s="68" t="s">
        <v>101</v>
      </c>
      <c r="K34" s="68" t="s">
        <v>97</v>
      </c>
      <c r="L34" s="78"/>
      <c r="M34" s="285"/>
      <c r="N34" s="303"/>
      <c r="O34" s="303"/>
      <c r="P34" s="445"/>
    </row>
    <row r="35" spans="1:18" x14ac:dyDescent="0.3">
      <c r="A35" s="458"/>
      <c r="B35" s="52">
        <v>0</v>
      </c>
      <c r="C35" s="70" t="s">
        <v>99</v>
      </c>
      <c r="D35" s="52" t="s">
        <v>102</v>
      </c>
      <c r="E35" s="368" t="s">
        <v>108</v>
      </c>
      <c r="F35" s="118"/>
      <c r="G35" s="71" t="str">
        <f>IF(C35=Lookups!$B$51,"DPR-2900",IF(C35=Lookups!$B$52,"DPR-2901","DPR-2902"))</f>
        <v>DPR-2900</v>
      </c>
      <c r="H35" s="438">
        <v>123</v>
      </c>
      <c r="I35" s="438">
        <v>149</v>
      </c>
      <c r="J35" s="438">
        <v>159</v>
      </c>
      <c r="K35" s="438">
        <v>21</v>
      </c>
      <c r="L35" s="152"/>
      <c r="M35" s="286"/>
      <c r="N35" s="305"/>
      <c r="O35" s="302"/>
      <c r="P35" s="445">
        <f>IF(AND(B35&gt;0,D35="Yes"),IF(C35=$H$34,($B35*H35)+(B35*K35),IF(C35=$I$34,($B35*I35)+(B35*K35),IF(C35=$J$34,($B35*J35)+(B35*K35),B35*J35))),IF(AND(B35&gt;0,D35="No"),IF(C35=$H$34,($B35*H35),IF(C35=$I$34,($B35*I35),IF(C35=$J$34,($B35*J35),B35*J35))),0))</f>
        <v>0</v>
      </c>
    </row>
    <row r="36" spans="1:18" x14ac:dyDescent="0.3">
      <c r="A36" s="458"/>
      <c r="B36" s="99"/>
      <c r="C36" s="99"/>
      <c r="D36" s="65"/>
      <c r="E36" s="88"/>
      <c r="F36" s="88"/>
      <c r="G36" s="76"/>
      <c r="H36" s="77"/>
      <c r="I36" s="77"/>
      <c r="J36" s="77"/>
      <c r="K36" s="77"/>
      <c r="L36" s="69"/>
      <c r="M36" s="282"/>
      <c r="N36" s="302"/>
      <c r="O36" s="302"/>
      <c r="P36" s="445"/>
    </row>
    <row r="37" spans="1:18" x14ac:dyDescent="0.3">
      <c r="A37" s="458"/>
      <c r="B37" s="161" t="s">
        <v>95</v>
      </c>
      <c r="C37" s="65" t="s">
        <v>96</v>
      </c>
      <c r="D37" s="161" t="s">
        <v>97</v>
      </c>
      <c r="E37" s="84" t="s">
        <v>109</v>
      </c>
      <c r="F37" s="84"/>
      <c r="G37" s="153"/>
      <c r="H37" s="68" t="s">
        <v>99</v>
      </c>
      <c r="I37" s="68" t="s">
        <v>100</v>
      </c>
      <c r="J37" s="68" t="s">
        <v>101</v>
      </c>
      <c r="K37" s="68" t="s">
        <v>97</v>
      </c>
      <c r="L37" s="94"/>
      <c r="M37" s="282"/>
      <c r="N37" s="302"/>
      <c r="O37" s="302"/>
      <c r="P37" s="445"/>
      <c r="R37" s="85"/>
    </row>
    <row r="38" spans="1:18" x14ac:dyDescent="0.3">
      <c r="A38" s="458"/>
      <c r="B38" s="52">
        <v>0</v>
      </c>
      <c r="C38" s="70" t="s">
        <v>99</v>
      </c>
      <c r="D38" s="52" t="s">
        <v>102</v>
      </c>
      <c r="E38" s="368" t="s">
        <v>110</v>
      </c>
      <c r="F38" s="86"/>
      <c r="G38" s="71" t="str">
        <f>IF(C38=Lookups!$B$51,"DPR-2903",IF(C38=Lookups!$B$52,"DPR-2904","DPR-2905"))</f>
        <v>DPR-2903</v>
      </c>
      <c r="H38" s="438">
        <v>294</v>
      </c>
      <c r="I38" s="444">
        <v>320</v>
      </c>
      <c r="J38" s="444">
        <v>337</v>
      </c>
      <c r="K38" s="438">
        <v>115</v>
      </c>
      <c r="L38" s="94"/>
      <c r="M38" s="287"/>
      <c r="N38" s="302"/>
      <c r="O38" s="302"/>
      <c r="P38" s="445">
        <f t="shared" ref="P38:P43" si="0">IF(AND(B38&gt;0,D38="Yes"),IF(C38=$H$37,($B38*H38)+(B38*K38),IF(C38=$I$37,($B38*I38)+(B38*K38),IF(C38=$J$37,($B38*J38)+(B38*K38),B38*J38))),IF(AND(B38&gt;0,D38="No"),IF(C38=$H$37,($B38*H38),IF(C38=$I$37,($B38*I38),IF(C38=$J$37,($B38*J38),B38*J38))),0))</f>
        <v>0</v>
      </c>
    </row>
    <row r="39" spans="1:18" ht="14.25" customHeight="1" x14ac:dyDescent="0.3">
      <c r="A39" s="458"/>
      <c r="B39" s="52">
        <v>0</v>
      </c>
      <c r="C39" s="70" t="s">
        <v>99</v>
      </c>
      <c r="D39" s="52" t="s">
        <v>102</v>
      </c>
      <c r="E39" s="369" t="s">
        <v>111</v>
      </c>
      <c r="F39" s="86"/>
      <c r="G39" s="71" t="str">
        <f>IF(C39=Lookups!$B$51,"DPR-2906",IF(C39=Lookups!$B$52,"DPR-2907","DPR-2908"))</f>
        <v>DPR-2906</v>
      </c>
      <c r="H39" s="438">
        <v>346</v>
      </c>
      <c r="I39" s="444">
        <v>406</v>
      </c>
      <c r="J39" s="444">
        <v>424</v>
      </c>
      <c r="K39" s="438">
        <v>126</v>
      </c>
      <c r="L39" s="94"/>
      <c r="M39" s="287"/>
      <c r="N39" s="302"/>
      <c r="O39" s="302"/>
      <c r="P39" s="445">
        <f t="shared" si="0"/>
        <v>0</v>
      </c>
      <c r="R39" s="85"/>
    </row>
    <row r="40" spans="1:18" x14ac:dyDescent="0.3">
      <c r="A40" s="458"/>
      <c r="B40" s="52">
        <v>0</v>
      </c>
      <c r="C40" s="70" t="s">
        <v>99</v>
      </c>
      <c r="D40" s="52" t="s">
        <v>102</v>
      </c>
      <c r="E40" s="369" t="s">
        <v>112</v>
      </c>
      <c r="F40" s="86"/>
      <c r="G40" s="71" t="str">
        <f>IF(C40=Lookups!$B$51,"DPR-2909",IF(C40=Lookups!$B$52,"DPR-2910","DPR-2911"))</f>
        <v>DPR-2909</v>
      </c>
      <c r="H40" s="438">
        <v>406</v>
      </c>
      <c r="I40" s="438">
        <v>441</v>
      </c>
      <c r="J40" s="438">
        <v>458</v>
      </c>
      <c r="K40" s="438">
        <v>147</v>
      </c>
      <c r="L40" s="94"/>
      <c r="M40" s="287"/>
      <c r="N40" s="302"/>
      <c r="O40" s="302"/>
      <c r="P40" s="445">
        <f t="shared" si="0"/>
        <v>0</v>
      </c>
      <c r="R40" s="85"/>
    </row>
    <row r="41" spans="1:18" x14ac:dyDescent="0.3">
      <c r="A41" s="458"/>
      <c r="B41" s="52">
        <v>0</v>
      </c>
      <c r="C41" s="70" t="s">
        <v>99</v>
      </c>
      <c r="D41" s="52" t="s">
        <v>102</v>
      </c>
      <c r="E41" s="369" t="s">
        <v>113</v>
      </c>
      <c r="F41" s="86"/>
      <c r="G41" s="71" t="str">
        <f>IF(C41=Lookups!$B$51,"DPR-2912",IF(C41=Lookups!$B$52,"DPR-2913","DPR-2914"))</f>
        <v>DPR-2912</v>
      </c>
      <c r="H41" s="438">
        <v>588</v>
      </c>
      <c r="I41" s="438">
        <v>623</v>
      </c>
      <c r="J41" s="438">
        <v>649</v>
      </c>
      <c r="K41" s="438">
        <v>147</v>
      </c>
      <c r="L41" s="94"/>
      <c r="M41" s="287"/>
      <c r="N41" s="302"/>
      <c r="O41" s="302"/>
      <c r="P41" s="445">
        <f t="shared" si="0"/>
        <v>0</v>
      </c>
      <c r="R41" s="85"/>
    </row>
    <row r="42" spans="1:18" x14ac:dyDescent="0.3">
      <c r="A42" s="458"/>
      <c r="B42" s="52">
        <v>0</v>
      </c>
      <c r="C42" s="70" t="s">
        <v>99</v>
      </c>
      <c r="D42" s="52" t="s">
        <v>102</v>
      </c>
      <c r="E42" s="369" t="s">
        <v>114</v>
      </c>
      <c r="F42" s="86"/>
      <c r="G42" s="71" t="str">
        <f>IF(C42=Lookups!$B$51,"DPR-2915",IF(C42=Lookups!$B$52,"DPR-2916","DPR-2917"))</f>
        <v>DPR-2915</v>
      </c>
      <c r="H42" s="438">
        <v>701</v>
      </c>
      <c r="I42" s="438">
        <v>718</v>
      </c>
      <c r="J42" s="438">
        <v>753</v>
      </c>
      <c r="K42" s="438">
        <v>209</v>
      </c>
      <c r="L42" s="94"/>
      <c r="M42" s="287"/>
      <c r="N42" s="302"/>
      <c r="O42" s="302"/>
      <c r="P42" s="445">
        <f t="shared" si="0"/>
        <v>0</v>
      </c>
      <c r="R42" s="85"/>
    </row>
    <row r="43" spans="1:18" x14ac:dyDescent="0.3">
      <c r="A43" s="458"/>
      <c r="B43" s="52">
        <v>0</v>
      </c>
      <c r="C43" s="70" t="s">
        <v>99</v>
      </c>
      <c r="D43" s="52" t="s">
        <v>102</v>
      </c>
      <c r="E43" s="369" t="s">
        <v>115</v>
      </c>
      <c r="F43" s="86"/>
      <c r="G43" s="71" t="str">
        <f>IF(C43=Lookups!$B$51,"DPR-2918",IF(C43=Lookups!$B$52,"DPR-2919","DPR-2920"))</f>
        <v>DPR-2918</v>
      </c>
      <c r="H43" s="444">
        <v>822</v>
      </c>
      <c r="I43" s="444">
        <v>892</v>
      </c>
      <c r="J43" s="444">
        <v>935</v>
      </c>
      <c r="K43" s="438">
        <v>262</v>
      </c>
      <c r="L43" s="94"/>
      <c r="M43" s="287"/>
      <c r="N43" s="302"/>
      <c r="O43" s="302"/>
      <c r="P43" s="445">
        <f t="shared" si="0"/>
        <v>0</v>
      </c>
    </row>
    <row r="44" spans="1:18" x14ac:dyDescent="0.3">
      <c r="A44" s="458"/>
      <c r="C44" s="36"/>
      <c r="D44" s="1"/>
      <c r="E44" s="418" t="s">
        <v>116</v>
      </c>
      <c r="F44" s="80"/>
      <c r="G44" s="76"/>
      <c r="H44" s="77"/>
      <c r="I44" s="77"/>
      <c r="J44" s="77"/>
      <c r="K44" s="77"/>
      <c r="L44" s="69"/>
      <c r="M44" s="282"/>
      <c r="N44" s="302"/>
      <c r="O44" s="302"/>
      <c r="P44" s="445"/>
      <c r="R44" s="85"/>
    </row>
    <row r="45" spans="1:18" x14ac:dyDescent="0.3">
      <c r="A45" s="458"/>
      <c r="C45" s="36"/>
      <c r="D45" s="1"/>
      <c r="E45" s="263" t="s">
        <v>117</v>
      </c>
      <c r="F45" s="76"/>
      <c r="G45" s="76"/>
      <c r="H45" s="77"/>
      <c r="I45" s="77"/>
      <c r="J45" s="77"/>
      <c r="K45" s="77"/>
      <c r="L45" s="46"/>
      <c r="M45" s="282"/>
      <c r="N45" s="302"/>
      <c r="O45" s="302"/>
      <c r="P45" s="302"/>
      <c r="R45" s="85"/>
    </row>
    <row r="46" spans="1:18" x14ac:dyDescent="0.3">
      <c r="A46" s="458"/>
      <c r="C46" s="36"/>
      <c r="D46" s="1"/>
      <c r="F46" s="76"/>
      <c r="G46" s="76"/>
      <c r="H46" s="77"/>
      <c r="I46" s="77"/>
      <c r="J46" s="77"/>
      <c r="K46" s="77"/>
      <c r="L46" s="46"/>
      <c r="M46" s="282"/>
      <c r="N46" s="302"/>
      <c r="O46" s="302"/>
      <c r="P46" s="302"/>
      <c r="R46" s="85"/>
    </row>
    <row r="47" spans="1:18" ht="15" customHeight="1" x14ac:dyDescent="0.3">
      <c r="A47" s="458"/>
      <c r="B47" s="162"/>
      <c r="C47" s="162"/>
      <c r="D47" s="159"/>
      <c r="E47" s="183" t="s">
        <v>118</v>
      </c>
      <c r="F47" s="329"/>
      <c r="G47" s="329"/>
      <c r="H47" s="330"/>
      <c r="I47" s="177"/>
      <c r="J47" s="177"/>
      <c r="K47" s="177"/>
      <c r="L47" s="171"/>
      <c r="M47" s="281"/>
      <c r="N47" s="301"/>
      <c r="O47" s="301"/>
      <c r="P47" s="301"/>
    </row>
    <row r="48" spans="1:18" ht="13.5" customHeight="1" x14ac:dyDescent="0.3">
      <c r="A48" s="458"/>
      <c r="B48" s="161" t="s">
        <v>95</v>
      </c>
      <c r="C48" s="65" t="s">
        <v>96</v>
      </c>
      <c r="D48" s="161" t="s">
        <v>97</v>
      </c>
      <c r="E48" s="90" t="s">
        <v>119</v>
      </c>
      <c r="F48" s="86"/>
      <c r="G48" s="153"/>
      <c r="H48" s="68" t="s">
        <v>99</v>
      </c>
      <c r="I48" s="68" t="s">
        <v>100</v>
      </c>
      <c r="J48" s="68" t="s">
        <v>101</v>
      </c>
      <c r="K48" s="68" t="s">
        <v>97</v>
      </c>
      <c r="L48" s="46"/>
      <c r="M48" s="282"/>
      <c r="N48" s="302"/>
      <c r="O48" s="302"/>
      <c r="P48" s="445"/>
    </row>
    <row r="49" spans="1:33" x14ac:dyDescent="0.3">
      <c r="A49" s="458"/>
      <c r="B49" s="52">
        <v>0</v>
      </c>
      <c r="C49" s="70" t="s">
        <v>99</v>
      </c>
      <c r="D49" s="52" t="s">
        <v>102</v>
      </c>
      <c r="E49" s="369" t="s">
        <v>120</v>
      </c>
      <c r="F49" s="363"/>
      <c r="G49" s="71" t="str">
        <f>IF(C49=Lookups!$B$51,"DPR-2921",IF(C49=Lookups!$B$52,"DPR-2922","DPR-2923"))</f>
        <v>DPR-2921</v>
      </c>
      <c r="H49" s="438">
        <v>79</v>
      </c>
      <c r="I49" s="438">
        <v>99</v>
      </c>
      <c r="J49" s="438">
        <v>109</v>
      </c>
      <c r="K49" s="438">
        <v>79</v>
      </c>
      <c r="L49" s="91"/>
      <c r="M49" s="282"/>
      <c r="N49" s="302"/>
      <c r="O49" s="302"/>
      <c r="P49" s="445">
        <f>IF(AND(B49&gt;0,D49="Yes"),IF(C49=$H$48,($B49*H49)+(B49*K49),IF(C49=$I$48,($B49*I49)+(B49*K49),IF(C49=$J$48,($B49*J49)+(B49*K49),B49*J49))),IF(AND(B49&gt;0,D49="No"),IF(C49=$H$48,($B49*H49),IF(C49=$I$48,($B49*I49),IF(C49=$J$48,($B49*J49),B49*J49))),0))</f>
        <v>0</v>
      </c>
    </row>
    <row r="50" spans="1:33" x14ac:dyDescent="0.3">
      <c r="A50" s="458"/>
      <c r="B50" s="52">
        <v>0</v>
      </c>
      <c r="C50" s="70" t="s">
        <v>99</v>
      </c>
      <c r="D50" s="52" t="s">
        <v>102</v>
      </c>
      <c r="E50" s="369" t="s">
        <v>121</v>
      </c>
      <c r="F50" s="363"/>
      <c r="G50" s="71" t="str">
        <f>IF(C50=Lookups!$B$51,"DPR-2924",IF(C50=Lookups!$B$52,"DPR-2925","DPR-2926"))</f>
        <v>DPR-2924</v>
      </c>
      <c r="H50" s="444">
        <f>H49*2</f>
        <v>158</v>
      </c>
      <c r="I50" s="444">
        <f>I49*2</f>
        <v>198</v>
      </c>
      <c r="J50" s="444">
        <f>J49*2</f>
        <v>218</v>
      </c>
      <c r="K50" s="444">
        <v>95</v>
      </c>
      <c r="L50" s="91"/>
      <c r="M50" s="282"/>
      <c r="N50" s="302"/>
      <c r="O50" s="302"/>
      <c r="P50" s="445">
        <f>IF(AND(B50&gt;0,D50="Yes"),IF(C50=$H$48,($B50*H50)+(B50*K50),IF(C50=$I$48,($B50*I50)+(B50*K50),IF(C50=$J$48,($B50*J50)+(B50*K50),B50*J50))),IF(AND(B50&gt;0,D50="No"),IF(C50=$H$48,($B50*H50),IF(C50=$I$48,($B50*I50),IF(C50=$J$48,($B50*J50),B50*J50))),0))</f>
        <v>0</v>
      </c>
    </row>
    <row r="51" spans="1:33" x14ac:dyDescent="0.3">
      <c r="A51" s="458"/>
      <c r="B51" s="52">
        <v>0</v>
      </c>
      <c r="C51" s="70" t="s">
        <v>99</v>
      </c>
      <c r="D51" s="52" t="s">
        <v>102</v>
      </c>
      <c r="E51" s="369" t="s">
        <v>122</v>
      </c>
      <c r="F51" s="363"/>
      <c r="G51" s="71" t="str">
        <f>IF(C51=Lookups!$B$51,"DPR-2927",IF(C51=Lookups!$B$52,"DPR-2928","DPR-2929"))</f>
        <v>DPR-2927</v>
      </c>
      <c r="H51" s="444">
        <f>H49*3</f>
        <v>237</v>
      </c>
      <c r="I51" s="444">
        <f>I49*3</f>
        <v>297</v>
      </c>
      <c r="J51" s="444">
        <f>J49*3</f>
        <v>327</v>
      </c>
      <c r="K51" s="444">
        <v>111</v>
      </c>
      <c r="L51" s="91"/>
      <c r="M51" s="282"/>
      <c r="N51" s="302"/>
      <c r="O51" s="302"/>
      <c r="P51" s="445">
        <f>IF(AND(B51&gt;0,D51="Yes"),IF(C51=$H$48,($B51*H51)+(B51*K51),IF(C51=$I$48,($B51*I51)+(B51*K51),IF(C51=$J$48,($B51*J51)+(B51*K51),B51*J51))),IF(AND(B51&gt;0,D51="No"),IF(C51=$H$48,($B51*H51),IF(C51=$I$48,($B51*I51),IF(C51=$J$48,($B51*J51),B51*J51))),0))</f>
        <v>0</v>
      </c>
    </row>
    <row r="52" spans="1:33" x14ac:dyDescent="0.3">
      <c r="A52" s="458"/>
      <c r="B52" s="52">
        <v>0</v>
      </c>
      <c r="C52" s="70" t="s">
        <v>99</v>
      </c>
      <c r="D52" s="52" t="s">
        <v>102</v>
      </c>
      <c r="E52" s="369" t="s">
        <v>123</v>
      </c>
      <c r="F52" s="363"/>
      <c r="G52" s="71" t="str">
        <f>IF(C52=Lookups!$B$51,"DPR-2930",IF(C52=Lookups!$B$52,"DPR-2931","DPR-2932"))</f>
        <v>DPR-2930</v>
      </c>
      <c r="H52" s="444">
        <f>H49*4</f>
        <v>316</v>
      </c>
      <c r="I52" s="444">
        <f>I49*4</f>
        <v>396</v>
      </c>
      <c r="J52" s="444">
        <f>J49*4</f>
        <v>436</v>
      </c>
      <c r="K52" s="444">
        <v>127</v>
      </c>
      <c r="L52" s="91"/>
      <c r="M52" s="282"/>
      <c r="N52" s="302"/>
      <c r="O52" s="302"/>
      <c r="P52" s="445">
        <f>IF(AND(B52&gt;0,D52="Yes"),IF(C52=$H$48,($B52*H52)+(B52*K52),IF(C52=$I$48,($B52*I52)+(B52*K52),IF(C52=$J$48,($B52*J52)+(B52*K52),B52*J52))),IF(AND(B52&gt;0,D52="No"),IF(C52=$H$48,($B52*H52),IF(C52=$I$48,($B52*I52),IF(C52=$J$48,($B52*J52),B52*J52))),0))</f>
        <v>0</v>
      </c>
    </row>
    <row r="53" spans="1:33" x14ac:dyDescent="0.3">
      <c r="A53" s="458"/>
      <c r="B53" s="99"/>
      <c r="C53" s="73"/>
      <c r="D53" s="65"/>
      <c r="E53" s="418" t="s">
        <v>116</v>
      </c>
      <c r="F53" s="76"/>
      <c r="G53" s="76"/>
      <c r="H53" s="77"/>
      <c r="I53" s="77"/>
      <c r="J53" s="77"/>
      <c r="K53" s="77"/>
      <c r="L53" s="78"/>
      <c r="M53" s="285"/>
      <c r="N53" s="303"/>
      <c r="O53" s="303"/>
      <c r="P53" s="445"/>
    </row>
    <row r="54" spans="1:33" s="80" customFormat="1" x14ac:dyDescent="0.3">
      <c r="A54" s="458"/>
      <c r="B54" s="99"/>
      <c r="C54" s="73"/>
      <c r="D54" s="74"/>
      <c r="E54" s="75"/>
      <c r="F54" s="76"/>
      <c r="G54" s="76"/>
      <c r="H54" s="77"/>
      <c r="I54" s="77"/>
      <c r="J54" s="77"/>
      <c r="K54" s="77"/>
      <c r="L54" s="78"/>
      <c r="M54" s="285"/>
      <c r="N54" s="303"/>
      <c r="O54" s="303"/>
      <c r="P54" s="445"/>
    </row>
    <row r="55" spans="1:33" s="80" customFormat="1" x14ac:dyDescent="0.3">
      <c r="A55" s="458"/>
      <c r="B55" s="161" t="s">
        <v>95</v>
      </c>
      <c r="C55" s="65" t="s">
        <v>96</v>
      </c>
      <c r="D55" s="161" t="s">
        <v>97</v>
      </c>
      <c r="E55" s="75"/>
      <c r="F55" s="76"/>
      <c r="G55" s="76"/>
      <c r="H55" s="68" t="s">
        <v>99</v>
      </c>
      <c r="I55" s="68" t="s">
        <v>100</v>
      </c>
      <c r="J55" s="68" t="s">
        <v>101</v>
      </c>
      <c r="K55" s="194" t="s">
        <v>97</v>
      </c>
      <c r="L55" s="78"/>
      <c r="M55" s="285"/>
      <c r="N55" s="303"/>
      <c r="O55" s="303"/>
      <c r="P55" s="303"/>
    </row>
    <row r="56" spans="1:33" s="80" customFormat="1" x14ac:dyDescent="0.3">
      <c r="A56" s="458"/>
      <c r="B56" s="52">
        <v>0</v>
      </c>
      <c r="C56" s="70" t="s">
        <v>99</v>
      </c>
      <c r="D56" s="52" t="s">
        <v>102</v>
      </c>
      <c r="E56" s="90" t="s">
        <v>124</v>
      </c>
      <c r="F56" s="86"/>
      <c r="G56" s="87"/>
      <c r="H56" s="93">
        <v>0</v>
      </c>
      <c r="I56" s="93">
        <v>0</v>
      </c>
      <c r="J56" s="93">
        <v>0</v>
      </c>
      <c r="K56" s="93">
        <v>0</v>
      </c>
      <c r="L56" s="94"/>
      <c r="M56" s="287"/>
      <c r="N56" s="302"/>
      <c r="O56" s="302"/>
      <c r="P56" s="445">
        <f>IF(AND(B56&gt;0,D56="Yes"),IF(C56=$H$55,($B56*H56)+(B56*K56),IF(C56=$I$55,($B56*I56)+(B56*K56),IF(C56=$J$55,($B56*J56)+(B56*K56),B56*J56))),IF(AND(B56&gt;0,D56="No"),IF(C56=$H$55,($B56*H56),IF(C56=$I$55,($B56*I56),IF(C56=$J$55,($B56*J56),B56*J56))),0))</f>
        <v>0</v>
      </c>
    </row>
    <row r="57" spans="1:33" s="80" customFormat="1" x14ac:dyDescent="0.3">
      <c r="A57" s="458"/>
      <c r="B57" s="38"/>
      <c r="C57" s="36"/>
      <c r="D57" s="1"/>
      <c r="E57" s="45"/>
      <c r="F57" s="45"/>
      <c r="G57" s="45"/>
      <c r="H57" s="58"/>
      <c r="I57" s="58"/>
      <c r="J57" s="58"/>
      <c r="K57" s="58"/>
      <c r="L57" s="46"/>
      <c r="M57" s="282"/>
      <c r="N57" s="302"/>
      <c r="O57" s="302"/>
      <c r="P57" s="302"/>
    </row>
    <row r="58" spans="1:33" ht="15" customHeight="1" x14ac:dyDescent="0.3">
      <c r="A58" s="458"/>
      <c r="B58" s="162"/>
      <c r="C58" s="162"/>
      <c r="D58" s="159"/>
      <c r="E58" s="159" t="s">
        <v>282</v>
      </c>
      <c r="F58" s="110"/>
      <c r="G58" s="110"/>
      <c r="H58" s="111" t="s">
        <v>86</v>
      </c>
      <c r="I58" s="177"/>
      <c r="J58" s="112"/>
      <c r="K58" s="112"/>
      <c r="L58" s="171"/>
      <c r="M58" s="281"/>
      <c r="N58" s="301"/>
      <c r="O58" s="301"/>
      <c r="P58" s="301"/>
    </row>
    <row r="59" spans="1:33" ht="15" customHeight="1" x14ac:dyDescent="0.3">
      <c r="A59" s="458"/>
      <c r="B59" s="36">
        <f>SUM(B29,B38:B43,B49:B52,B56)</f>
        <v>0</v>
      </c>
      <c r="C59" s="53" t="s">
        <v>128</v>
      </c>
      <c r="D59" s="1"/>
      <c r="E59" s="54" t="s">
        <v>283</v>
      </c>
      <c r="F59" s="106"/>
      <c r="G59" s="87" t="s">
        <v>132</v>
      </c>
      <c r="H59" s="72">
        <v>175</v>
      </c>
      <c r="I59" s="77"/>
      <c r="J59" s="102"/>
      <c r="K59" s="102"/>
      <c r="L59" s="105"/>
      <c r="M59" s="282">
        <f t="shared" ref="M59" si="1">+H59*B59</f>
        <v>0</v>
      </c>
      <c r="N59" s="302"/>
      <c r="O59" s="302"/>
      <c r="P59" s="302"/>
    </row>
    <row r="60" spans="1:33" s="80" customFormat="1" x14ac:dyDescent="0.3">
      <c r="A60" s="458"/>
      <c r="B60" s="38"/>
      <c r="C60" s="36"/>
      <c r="D60" s="1"/>
      <c r="E60" s="45"/>
      <c r="F60" s="45"/>
      <c r="G60" s="45"/>
      <c r="H60" s="58"/>
      <c r="I60" s="58"/>
      <c r="J60" s="58"/>
      <c r="K60" s="58"/>
      <c r="L60" s="46"/>
      <c r="M60" s="282"/>
      <c r="N60" s="302"/>
      <c r="O60" s="302"/>
      <c r="P60" s="302"/>
    </row>
    <row r="61" spans="1:33" ht="15.6" x14ac:dyDescent="0.3">
      <c r="A61" s="458"/>
      <c r="B61" s="203"/>
      <c r="C61" s="204"/>
      <c r="D61" s="157" t="s">
        <v>284</v>
      </c>
      <c r="E61" s="47"/>
      <c r="F61" s="47"/>
      <c r="G61" s="47"/>
      <c r="H61" s="48" t="s">
        <v>83</v>
      </c>
      <c r="I61" s="48"/>
      <c r="J61" s="48"/>
      <c r="K61" s="48"/>
      <c r="L61" s="170"/>
      <c r="M61" s="280">
        <f>SUM(M62:M65)</f>
        <v>0</v>
      </c>
      <c r="N61" s="300">
        <f>SUM(N62:N65)</f>
        <v>0</v>
      </c>
      <c r="O61" s="300">
        <f>SUM(O62:O65)</f>
        <v>0</v>
      </c>
      <c r="P61" s="300">
        <f>SUM(P62:P65)</f>
        <v>0</v>
      </c>
      <c r="AF61" s="57"/>
      <c r="AG61" s="57"/>
    </row>
    <row r="62" spans="1:33" ht="15.6" x14ac:dyDescent="0.3">
      <c r="A62" s="458"/>
      <c r="E62" s="156" t="s">
        <v>285</v>
      </c>
      <c r="F62" s="42"/>
      <c r="G62" s="42"/>
      <c r="H62" s="50"/>
      <c r="I62" s="50"/>
      <c r="J62" s="95"/>
      <c r="K62" s="95"/>
      <c r="L62" s="95"/>
      <c r="M62" s="319"/>
      <c r="N62" s="320"/>
      <c r="O62" s="320"/>
      <c r="P62" s="320"/>
      <c r="R62" s="85"/>
    </row>
    <row r="63" spans="1:33" x14ac:dyDescent="0.3">
      <c r="A63" s="458"/>
      <c r="B63" s="52">
        <v>0</v>
      </c>
      <c r="C63" s="92" t="s">
        <v>128</v>
      </c>
      <c r="D63" s="1"/>
      <c r="E63" s="137" t="s">
        <v>286</v>
      </c>
      <c r="F63" s="201"/>
      <c r="G63" s="59" t="s">
        <v>287</v>
      </c>
      <c r="H63" s="72">
        <v>23.65</v>
      </c>
      <c r="I63" s="50"/>
      <c r="J63" s="58"/>
      <c r="K63" s="58"/>
      <c r="L63" s="46"/>
      <c r="M63" s="282"/>
      <c r="N63" s="302"/>
      <c r="O63" s="302"/>
      <c r="P63" s="302">
        <f>+B63*H63</f>
        <v>0</v>
      </c>
    </row>
    <row r="64" spans="1:33" x14ac:dyDescent="0.3">
      <c r="A64" s="458"/>
      <c r="E64" s="136" t="s">
        <v>288</v>
      </c>
      <c r="G64" s="97"/>
      <c r="H64" s="98"/>
      <c r="I64" s="39"/>
      <c r="J64" s="39"/>
      <c r="K64" s="39"/>
      <c r="M64" s="288"/>
      <c r="N64" s="306"/>
      <c r="O64" s="306"/>
      <c r="P64" s="306"/>
    </row>
    <row r="65" spans="1:33" x14ac:dyDescent="0.3">
      <c r="A65" s="458"/>
      <c r="G65" s="97"/>
      <c r="H65" s="98"/>
      <c r="I65" s="39"/>
      <c r="J65" s="39"/>
      <c r="K65" s="39"/>
      <c r="M65" s="288"/>
      <c r="N65" s="306"/>
      <c r="O65" s="306"/>
      <c r="P65" s="306"/>
    </row>
    <row r="66" spans="1:33" ht="15.6" x14ac:dyDescent="0.3">
      <c r="A66" s="458"/>
      <c r="B66" s="203"/>
      <c r="C66" s="204"/>
      <c r="D66" s="157" t="s">
        <v>125</v>
      </c>
      <c r="E66" s="47"/>
      <c r="F66" s="47"/>
      <c r="G66" s="47"/>
      <c r="H66" s="48"/>
      <c r="I66" s="48"/>
      <c r="J66" s="48"/>
      <c r="K66" s="48"/>
      <c r="L66" s="170"/>
      <c r="M66" s="280">
        <f>SUM(M67:M74)</f>
        <v>0</v>
      </c>
      <c r="N66" s="300">
        <f t="shared" ref="N66:P66" si="2">SUM(N67:N74)</f>
        <v>0</v>
      </c>
      <c r="O66" s="300">
        <f t="shared" si="2"/>
        <v>0</v>
      </c>
      <c r="P66" s="300">
        <f t="shared" si="2"/>
        <v>0</v>
      </c>
      <c r="AF66" s="57"/>
      <c r="AG66" s="57"/>
    </row>
    <row r="67" spans="1:33" ht="15" customHeight="1" x14ac:dyDescent="0.3">
      <c r="A67" s="458"/>
      <c r="B67" s="162"/>
      <c r="C67" s="162"/>
      <c r="D67" s="159"/>
      <c r="E67" s="159" t="s">
        <v>289</v>
      </c>
      <c r="F67" s="110"/>
      <c r="G67" s="110"/>
      <c r="H67" s="111"/>
      <c r="I67" s="177" t="s">
        <v>127</v>
      </c>
      <c r="J67" s="112"/>
      <c r="K67" s="112"/>
      <c r="L67" s="171"/>
      <c r="M67" s="281"/>
      <c r="N67" s="301"/>
      <c r="O67" s="301"/>
      <c r="P67" s="301"/>
    </row>
    <row r="68" spans="1:33" x14ac:dyDescent="0.3">
      <c r="A68" s="458"/>
      <c r="B68" s="52">
        <v>0</v>
      </c>
      <c r="C68" s="92" t="s">
        <v>128</v>
      </c>
      <c r="D68" s="1"/>
      <c r="E68" s="137" t="s">
        <v>290</v>
      </c>
      <c r="F68" s="55"/>
      <c r="G68" s="59" t="s">
        <v>291</v>
      </c>
      <c r="H68" s="402">
        <v>15</v>
      </c>
      <c r="I68" s="72">
        <v>0.11</v>
      </c>
      <c r="J68" s="58" t="s">
        <v>83</v>
      </c>
      <c r="K68" s="58"/>
      <c r="L68" s="46"/>
      <c r="M68" s="282"/>
      <c r="N68" s="302"/>
      <c r="O68" s="302"/>
      <c r="P68" s="302">
        <f>+B68*H68</f>
        <v>0</v>
      </c>
    </row>
    <row r="69" spans="1:33" x14ac:dyDescent="0.3">
      <c r="A69" s="458"/>
      <c r="G69" s="97"/>
      <c r="H69" s="98"/>
      <c r="I69" s="39"/>
      <c r="J69" s="39"/>
      <c r="K69" s="39"/>
      <c r="M69" s="288"/>
      <c r="N69" s="306"/>
      <c r="O69" s="306"/>
      <c r="P69" s="306"/>
    </row>
    <row r="70" spans="1:33" ht="15" customHeight="1" x14ac:dyDescent="0.3">
      <c r="A70" s="458"/>
      <c r="B70" s="162"/>
      <c r="C70" s="162"/>
      <c r="D70" s="159"/>
      <c r="E70" s="159" t="s">
        <v>126</v>
      </c>
      <c r="F70" s="110"/>
      <c r="G70" s="110"/>
      <c r="H70" s="111"/>
      <c r="I70" s="177" t="s">
        <v>127</v>
      </c>
      <c r="J70" s="112"/>
      <c r="K70" s="112"/>
      <c r="L70" s="171"/>
      <c r="M70" s="281"/>
      <c r="N70" s="301"/>
      <c r="O70" s="301"/>
      <c r="P70" s="301"/>
    </row>
    <row r="71" spans="1:33" x14ac:dyDescent="0.3">
      <c r="A71" s="458"/>
      <c r="B71" s="52">
        <v>0</v>
      </c>
      <c r="C71" s="92" t="s">
        <v>128</v>
      </c>
      <c r="D71" s="1"/>
      <c r="E71" s="185" t="s">
        <v>129</v>
      </c>
      <c r="F71" s="71"/>
      <c r="G71" s="59" t="s">
        <v>130</v>
      </c>
      <c r="H71" s="402">
        <v>110.25</v>
      </c>
      <c r="I71" s="72">
        <v>0.11</v>
      </c>
      <c r="J71" s="58" t="s">
        <v>83</v>
      </c>
      <c r="K71" s="58"/>
      <c r="L71" s="186"/>
      <c r="M71" s="282"/>
      <c r="N71" s="302"/>
      <c r="O71" s="302"/>
      <c r="P71" s="302">
        <f>+B71*H71</f>
        <v>0</v>
      </c>
    </row>
    <row r="72" spans="1:33" ht="15" customHeight="1" x14ac:dyDescent="0.3">
      <c r="A72" s="458"/>
      <c r="B72" s="36">
        <f>B71</f>
        <v>0</v>
      </c>
      <c r="C72" s="53" t="s">
        <v>128</v>
      </c>
      <c r="D72" s="1"/>
      <c r="E72" s="54" t="s">
        <v>131</v>
      </c>
      <c r="F72" s="106"/>
      <c r="G72" s="87" t="s">
        <v>132</v>
      </c>
      <c r="H72" s="72">
        <v>175</v>
      </c>
      <c r="I72" s="77"/>
      <c r="J72" s="77" t="s">
        <v>86</v>
      </c>
      <c r="K72" s="77"/>
      <c r="L72" s="105"/>
      <c r="M72" s="282">
        <f t="shared" ref="M72" si="3">+H72*B72</f>
        <v>0</v>
      </c>
      <c r="N72" s="302"/>
      <c r="O72" s="302"/>
      <c r="P72" s="302"/>
    </row>
    <row r="73" spans="1:33" x14ac:dyDescent="0.3">
      <c r="A73" s="458"/>
      <c r="E73" s="136" t="s">
        <v>292</v>
      </c>
      <c r="F73" s="80"/>
      <c r="G73" s="97"/>
      <c r="H73" s="97"/>
      <c r="I73" s="97"/>
      <c r="J73" s="39"/>
      <c r="K73" s="39"/>
      <c r="M73" s="288"/>
      <c r="N73" s="306"/>
      <c r="O73" s="306"/>
      <c r="P73" s="306"/>
    </row>
    <row r="74" spans="1:33" x14ac:dyDescent="0.3">
      <c r="A74" s="458"/>
      <c r="E74" s="89"/>
      <c r="G74" s="97"/>
      <c r="H74" s="98"/>
      <c r="I74" s="39"/>
      <c r="J74" s="39"/>
      <c r="K74" s="39"/>
      <c r="M74" s="288"/>
      <c r="N74" s="306"/>
      <c r="O74" s="306"/>
      <c r="P74" s="306"/>
    </row>
    <row r="75" spans="1:33" ht="15.6" x14ac:dyDescent="0.3">
      <c r="A75" s="458"/>
      <c r="B75" s="203"/>
      <c r="C75" s="204"/>
      <c r="D75" s="157" t="s">
        <v>293</v>
      </c>
      <c r="E75" s="47"/>
      <c r="F75" s="47"/>
      <c r="G75" s="47"/>
      <c r="H75" s="48"/>
      <c r="I75" s="48"/>
      <c r="J75" s="48"/>
      <c r="K75" s="48"/>
      <c r="L75" s="170"/>
      <c r="M75" s="280">
        <f>SUM(M76:M83)</f>
        <v>0</v>
      </c>
      <c r="N75" s="300">
        <f t="shared" ref="N75:P75" si="4">SUM(N76:N83)</f>
        <v>0</v>
      </c>
      <c r="O75" s="300">
        <f t="shared" si="4"/>
        <v>0</v>
      </c>
      <c r="P75" s="300">
        <f t="shared" si="4"/>
        <v>0</v>
      </c>
      <c r="AF75" s="57"/>
      <c r="AG75" s="57"/>
    </row>
    <row r="76" spans="1:33" ht="15" customHeight="1" x14ac:dyDescent="0.3">
      <c r="A76" s="458"/>
      <c r="B76" s="162"/>
      <c r="C76" s="162"/>
      <c r="D76" s="159"/>
      <c r="E76" s="159" t="s">
        <v>294</v>
      </c>
      <c r="F76" s="110"/>
      <c r="G76" s="110"/>
      <c r="H76" s="111"/>
      <c r="I76" s="177"/>
      <c r="J76" s="112"/>
      <c r="K76" s="112"/>
      <c r="L76" s="171"/>
      <c r="M76" s="281"/>
      <c r="N76" s="301"/>
      <c r="O76" s="301"/>
      <c r="P76" s="301"/>
    </row>
    <row r="77" spans="1:33" x14ac:dyDescent="0.3">
      <c r="A77" s="458"/>
      <c r="B77" s="52">
        <v>0</v>
      </c>
      <c r="C77" s="92" t="s">
        <v>128</v>
      </c>
      <c r="D77" s="1"/>
      <c r="E77" s="137" t="s">
        <v>295</v>
      </c>
      <c r="F77" s="55"/>
      <c r="G77" s="59" t="s">
        <v>296</v>
      </c>
      <c r="H77" s="402">
        <v>5.25</v>
      </c>
      <c r="I77" s="50"/>
      <c r="J77" s="58" t="s">
        <v>83</v>
      </c>
      <c r="K77" s="58"/>
      <c r="L77" s="46"/>
      <c r="M77" s="282"/>
      <c r="N77" s="302"/>
      <c r="O77" s="302"/>
      <c r="P77" s="302">
        <f>+B77*H77</f>
        <v>0</v>
      </c>
    </row>
    <row r="78" spans="1:33" ht="15" customHeight="1" x14ac:dyDescent="0.3">
      <c r="A78" s="458"/>
      <c r="B78" s="70" t="s">
        <v>297</v>
      </c>
      <c r="C78" s="334" t="s">
        <v>298</v>
      </c>
      <c r="E78" s="263"/>
      <c r="F78" s="80"/>
      <c r="G78" s="97"/>
      <c r="H78" s="98"/>
      <c r="I78" s="39"/>
      <c r="J78" s="39"/>
      <c r="K78" s="39"/>
      <c r="M78" s="288"/>
      <c r="N78" s="306"/>
      <c r="O78" s="306"/>
      <c r="P78" s="306"/>
    </row>
    <row r="79" spans="1:33" ht="15" customHeight="1" x14ac:dyDescent="0.3">
      <c r="A79" s="458"/>
      <c r="B79" s="70" t="s">
        <v>297</v>
      </c>
      <c r="C79" s="334" t="s">
        <v>299</v>
      </c>
      <c r="D79" s="80"/>
      <c r="E79" s="60"/>
      <c r="F79" s="80"/>
      <c r="G79" s="219"/>
      <c r="H79" s="342"/>
      <c r="I79" s="343"/>
      <c r="J79" s="343"/>
      <c r="K79" s="343"/>
      <c r="M79" s="288"/>
      <c r="N79" s="306"/>
      <c r="O79" s="306"/>
      <c r="P79" s="306"/>
    </row>
    <row r="80" spans="1:33" ht="15" customHeight="1" x14ac:dyDescent="0.3">
      <c r="A80" s="458"/>
      <c r="C80" s="341"/>
      <c r="D80" s="80"/>
      <c r="E80" s="60"/>
      <c r="F80" s="80"/>
      <c r="G80" s="219"/>
      <c r="H80" s="342"/>
      <c r="I80" s="343"/>
      <c r="J80" s="343"/>
      <c r="K80" s="343"/>
      <c r="M80" s="288"/>
      <c r="N80" s="306"/>
      <c r="O80" s="306"/>
      <c r="P80" s="306"/>
    </row>
    <row r="81" spans="1:16" ht="15" customHeight="1" x14ac:dyDescent="0.3">
      <c r="A81" s="458"/>
      <c r="B81" s="497" t="s">
        <v>300</v>
      </c>
      <c r="C81" s="497"/>
      <c r="D81" s="497"/>
      <c r="E81" s="497"/>
      <c r="F81" s="497"/>
      <c r="G81" s="497"/>
      <c r="H81" s="344"/>
      <c r="I81" s="344"/>
      <c r="J81" s="344"/>
      <c r="K81" s="344"/>
      <c r="M81" s="288"/>
      <c r="N81" s="306"/>
      <c r="O81" s="306"/>
      <c r="P81" s="306"/>
    </row>
    <row r="82" spans="1:16" x14ac:dyDescent="0.3">
      <c r="A82" s="458"/>
      <c r="B82" s="497"/>
      <c r="C82" s="497"/>
      <c r="D82" s="497"/>
      <c r="E82" s="497"/>
      <c r="F82" s="497"/>
      <c r="G82" s="497"/>
      <c r="H82" s="344"/>
      <c r="I82" s="344"/>
      <c r="J82" s="344"/>
      <c r="K82" s="344"/>
      <c r="M82" s="288"/>
      <c r="N82" s="306"/>
      <c r="O82" s="306"/>
      <c r="P82" s="306"/>
    </row>
    <row r="83" spans="1:16" x14ac:dyDescent="0.3">
      <c r="A83" s="458"/>
      <c r="G83" s="97"/>
      <c r="H83" s="98"/>
      <c r="I83" s="39"/>
      <c r="J83" s="39"/>
      <c r="K83" s="39"/>
      <c r="M83" s="288"/>
      <c r="N83" s="306"/>
      <c r="O83" s="306"/>
      <c r="P83" s="306"/>
    </row>
    <row r="84" spans="1:16" ht="15.6" x14ac:dyDescent="0.3">
      <c r="A84" s="458"/>
      <c r="B84" s="255"/>
      <c r="C84" s="204"/>
      <c r="D84" s="157" t="s">
        <v>134</v>
      </c>
      <c r="E84" s="47"/>
      <c r="F84" s="47"/>
      <c r="G84" s="47"/>
      <c r="H84" s="48" t="s">
        <v>83</v>
      </c>
      <c r="I84" s="48"/>
      <c r="J84" s="48"/>
      <c r="K84" s="48"/>
      <c r="L84" s="170"/>
      <c r="M84" s="280">
        <f>SUM(M85:M112)</f>
        <v>0</v>
      </c>
      <c r="N84" s="300">
        <f>SUM(N85:N112)</f>
        <v>0</v>
      </c>
      <c r="O84" s="300">
        <f>SUM(O85:O112)</f>
        <v>0</v>
      </c>
      <c r="P84" s="300">
        <f>SUM(P85:P112)</f>
        <v>0</v>
      </c>
    </row>
    <row r="85" spans="1:16" x14ac:dyDescent="0.3">
      <c r="A85" s="458"/>
      <c r="B85" s="52">
        <v>0</v>
      </c>
      <c r="C85" s="92" t="s">
        <v>128</v>
      </c>
      <c r="D85" s="74"/>
      <c r="E85" s="90" t="s">
        <v>135</v>
      </c>
      <c r="F85" s="86"/>
      <c r="G85" s="84" t="s">
        <v>136</v>
      </c>
      <c r="H85" s="402">
        <v>110.25</v>
      </c>
      <c r="I85" s="38" t="s">
        <v>83</v>
      </c>
      <c r="J85" s="101"/>
      <c r="K85" s="101"/>
      <c r="L85" s="94"/>
      <c r="M85" s="282"/>
      <c r="N85" s="302"/>
      <c r="O85" s="302">
        <f>IF(B85&gt;0,Lookups!$B$68,0)</f>
        <v>0</v>
      </c>
      <c r="P85" s="302">
        <f t="shared" ref="P85" si="5">B85*H85</f>
        <v>0</v>
      </c>
    </row>
    <row r="86" spans="1:16" x14ac:dyDescent="0.3">
      <c r="A86" s="458"/>
      <c r="B86" s="52">
        <v>0</v>
      </c>
      <c r="C86" s="92" t="s">
        <v>128</v>
      </c>
      <c r="D86" s="74"/>
      <c r="E86" s="90" t="s">
        <v>137</v>
      </c>
      <c r="F86" s="86"/>
      <c r="G86" s="84" t="s">
        <v>138</v>
      </c>
      <c r="H86" s="402">
        <v>162.75</v>
      </c>
      <c r="I86" s="38" t="s">
        <v>83</v>
      </c>
      <c r="J86" s="101"/>
      <c r="K86" s="101"/>
      <c r="L86" s="94"/>
      <c r="M86" s="282"/>
      <c r="N86" s="302"/>
      <c r="O86" s="302">
        <f>IF(B86&gt;0,Lookups!$B$68,0)</f>
        <v>0</v>
      </c>
      <c r="P86" s="302">
        <f t="shared" ref="P86:P98" si="6">B86*H86</f>
        <v>0</v>
      </c>
    </row>
    <row r="87" spans="1:16" x14ac:dyDescent="0.3">
      <c r="A87" s="458"/>
      <c r="B87" s="52">
        <v>0</v>
      </c>
      <c r="C87" s="92" t="s">
        <v>128</v>
      </c>
      <c r="D87" s="74"/>
      <c r="E87" s="90" t="s">
        <v>139</v>
      </c>
      <c r="F87" s="86"/>
      <c r="G87" s="84" t="s">
        <v>140</v>
      </c>
      <c r="H87" s="402">
        <v>225.75</v>
      </c>
      <c r="I87" s="38" t="s">
        <v>83</v>
      </c>
      <c r="J87" s="101"/>
      <c r="K87" s="101"/>
      <c r="L87" s="94"/>
      <c r="M87" s="282"/>
      <c r="N87" s="302"/>
      <c r="O87" s="302">
        <f>IF(B87&gt;0,Lookups!$B$68,0)</f>
        <v>0</v>
      </c>
      <c r="P87" s="302">
        <f t="shared" si="6"/>
        <v>0</v>
      </c>
    </row>
    <row r="88" spans="1:16" ht="15" x14ac:dyDescent="0.3">
      <c r="A88" s="458"/>
      <c r="B88" s="52">
        <v>0</v>
      </c>
      <c r="C88" s="92" t="s">
        <v>128</v>
      </c>
      <c r="D88" s="74"/>
      <c r="E88" s="90" t="s">
        <v>141</v>
      </c>
      <c r="F88" s="86"/>
      <c r="G88" s="84" t="s">
        <v>142</v>
      </c>
      <c r="H88" s="402">
        <v>325.5</v>
      </c>
      <c r="I88" s="99" t="s">
        <v>83</v>
      </c>
      <c r="J88" s="101"/>
      <c r="K88" s="101"/>
      <c r="L88" s="399"/>
      <c r="M88" s="289"/>
      <c r="N88" s="308"/>
      <c r="O88" s="302">
        <f>IF(B88&gt;0,Lookups!$B$68,0)</f>
        <v>0</v>
      </c>
      <c r="P88" s="302">
        <f>B88*H88</f>
        <v>0</v>
      </c>
    </row>
    <row r="89" spans="1:16" ht="15" customHeight="1" x14ac:dyDescent="0.3">
      <c r="A89" s="458"/>
      <c r="B89" s="36">
        <f>SUM(B85:B88)</f>
        <v>0</v>
      </c>
      <c r="C89" s="92" t="s">
        <v>128</v>
      </c>
      <c r="D89" s="1"/>
      <c r="E89" s="90" t="s">
        <v>143</v>
      </c>
      <c r="F89" s="107"/>
      <c r="G89" s="87" t="s">
        <v>144</v>
      </c>
      <c r="H89" s="72">
        <f>200*1.05</f>
        <v>210</v>
      </c>
      <c r="I89" s="38" t="s">
        <v>86</v>
      </c>
      <c r="L89" s="105"/>
      <c r="M89" s="282">
        <f>+H89*B89</f>
        <v>0</v>
      </c>
      <c r="N89" s="302"/>
      <c r="O89" s="302"/>
      <c r="P89" s="302"/>
    </row>
    <row r="90" spans="1:16" x14ac:dyDescent="0.3">
      <c r="A90" s="458"/>
      <c r="B90" s="36"/>
      <c r="C90" s="36"/>
      <c r="D90" s="1"/>
      <c r="E90" s="75" t="s">
        <v>145</v>
      </c>
      <c r="F90" s="75"/>
      <c r="G90" s="45"/>
      <c r="H90" s="77"/>
      <c r="I90" s="38"/>
      <c r="J90" s="102"/>
      <c r="K90" s="102"/>
      <c r="L90" s="105"/>
      <c r="M90" s="282"/>
      <c r="N90" s="302"/>
      <c r="O90" s="302"/>
      <c r="P90" s="302"/>
    </row>
    <row r="91" spans="1:16" x14ac:dyDescent="0.3">
      <c r="A91" s="458"/>
      <c r="B91" s="36"/>
      <c r="C91" s="36"/>
      <c r="D91" s="1"/>
      <c r="E91" s="418" t="s">
        <v>301</v>
      </c>
      <c r="F91" s="75"/>
      <c r="G91" s="45"/>
      <c r="H91" s="77"/>
      <c r="I91" s="38"/>
      <c r="J91" s="102"/>
      <c r="K91" s="102"/>
      <c r="L91" s="105"/>
      <c r="M91" s="282"/>
      <c r="N91" s="302"/>
      <c r="O91" s="302"/>
      <c r="P91" s="302"/>
    </row>
    <row r="92" spans="1:16" x14ac:dyDescent="0.3">
      <c r="A92" s="458"/>
      <c r="B92" s="52">
        <v>0</v>
      </c>
      <c r="C92" s="92" t="s">
        <v>128</v>
      </c>
      <c r="D92" s="74"/>
      <c r="E92" s="90" t="s">
        <v>147</v>
      </c>
      <c r="F92" s="86"/>
      <c r="G92" s="84" t="s">
        <v>148</v>
      </c>
      <c r="H92" s="402">
        <v>63</v>
      </c>
      <c r="I92" s="38" t="s">
        <v>83</v>
      </c>
      <c r="J92" s="102"/>
      <c r="K92" s="102"/>
      <c r="L92" s="94"/>
      <c r="M92" s="282"/>
      <c r="N92" s="302"/>
      <c r="O92" s="302"/>
      <c r="P92" s="302">
        <f>B92*H92</f>
        <v>0</v>
      </c>
    </row>
    <row r="93" spans="1:16" x14ac:dyDescent="0.3">
      <c r="A93" s="458"/>
      <c r="B93" s="52">
        <v>0</v>
      </c>
      <c r="C93" s="92" t="s">
        <v>128</v>
      </c>
      <c r="D93" s="74"/>
      <c r="E93" s="90" t="s">
        <v>149</v>
      </c>
      <c r="F93" s="86"/>
      <c r="G93" s="84" t="s">
        <v>150</v>
      </c>
      <c r="H93" s="402">
        <v>94.5</v>
      </c>
      <c r="I93" s="38" t="s">
        <v>83</v>
      </c>
      <c r="J93" s="102"/>
      <c r="K93" s="102"/>
      <c r="L93" s="94"/>
      <c r="M93" s="282"/>
      <c r="N93" s="302"/>
      <c r="O93" s="302"/>
      <c r="P93" s="302">
        <f>B93*H93</f>
        <v>0</v>
      </c>
    </row>
    <row r="94" spans="1:16" x14ac:dyDescent="0.3">
      <c r="A94" s="458"/>
      <c r="B94" s="52">
        <v>0</v>
      </c>
      <c r="C94" s="92" t="s">
        <v>128</v>
      </c>
      <c r="D94" s="74"/>
      <c r="E94" s="90" t="s">
        <v>151</v>
      </c>
      <c r="F94" s="86"/>
      <c r="G94" s="84" t="s">
        <v>152</v>
      </c>
      <c r="H94" s="402">
        <v>120.75</v>
      </c>
      <c r="I94" s="38" t="s">
        <v>83</v>
      </c>
      <c r="J94" s="102"/>
      <c r="K94" s="102"/>
      <c r="L94" s="94"/>
      <c r="M94" s="282"/>
      <c r="N94" s="302"/>
      <c r="O94" s="302"/>
      <c r="P94" s="302">
        <f>B94*H94</f>
        <v>0</v>
      </c>
    </row>
    <row r="95" spans="1:16" x14ac:dyDescent="0.3">
      <c r="A95" s="458"/>
      <c r="B95" s="52">
        <v>0</v>
      </c>
      <c r="C95" s="92" t="s">
        <v>128</v>
      </c>
      <c r="D95" s="74"/>
      <c r="E95" s="90" t="s">
        <v>153</v>
      </c>
      <c r="F95" s="86"/>
      <c r="G95" s="84" t="s">
        <v>154</v>
      </c>
      <c r="H95" s="402">
        <v>162.75</v>
      </c>
      <c r="I95" s="38" t="s">
        <v>83</v>
      </c>
      <c r="J95" s="102"/>
      <c r="K95" s="102"/>
      <c r="L95" s="94"/>
      <c r="M95" s="289"/>
      <c r="N95" s="308"/>
      <c r="O95" s="302"/>
      <c r="P95" s="302">
        <f>B95*H95</f>
        <v>0</v>
      </c>
    </row>
    <row r="96" spans="1:16" x14ac:dyDescent="0.3">
      <c r="A96" s="458"/>
      <c r="B96" s="36">
        <f>SUM(B92:B95)</f>
        <v>0</v>
      </c>
      <c r="C96" s="92" t="s">
        <v>128</v>
      </c>
      <c r="D96" s="1"/>
      <c r="E96" s="90" t="s">
        <v>155</v>
      </c>
      <c r="F96" s="107"/>
      <c r="G96" s="87" t="s">
        <v>156</v>
      </c>
      <c r="H96" s="72">
        <v>105</v>
      </c>
      <c r="I96" s="38" t="s">
        <v>86</v>
      </c>
      <c r="L96" s="105"/>
      <c r="M96" s="282">
        <f>+H96*B96</f>
        <v>0</v>
      </c>
      <c r="N96" s="302"/>
      <c r="O96" s="302"/>
      <c r="P96" s="302"/>
    </row>
    <row r="97" spans="1:16" x14ac:dyDescent="0.3">
      <c r="A97" s="458"/>
      <c r="B97" s="36"/>
      <c r="C97" s="36"/>
      <c r="D97" s="1"/>
      <c r="E97" s="75"/>
      <c r="F97" s="75"/>
      <c r="G97" s="45"/>
      <c r="H97" s="77"/>
      <c r="I97" s="38"/>
      <c r="J97" s="102"/>
      <c r="K97" s="102"/>
      <c r="L97" s="105"/>
      <c r="M97" s="282"/>
      <c r="N97" s="302"/>
      <c r="O97" s="302"/>
      <c r="P97" s="302"/>
    </row>
    <row r="98" spans="1:16" x14ac:dyDescent="0.3">
      <c r="A98" s="458"/>
      <c r="B98" s="52">
        <v>0</v>
      </c>
      <c r="C98" s="92" t="s">
        <v>128</v>
      </c>
      <c r="D98" s="74"/>
      <c r="E98" s="90" t="s">
        <v>157</v>
      </c>
      <c r="F98" s="211"/>
      <c r="G98" s="84" t="s">
        <v>158</v>
      </c>
      <c r="H98" s="402">
        <v>15.75</v>
      </c>
      <c r="I98" s="38" t="s">
        <v>83</v>
      </c>
      <c r="J98" s="101"/>
      <c r="K98" s="101"/>
      <c r="L98" s="100"/>
      <c r="M98" s="282"/>
      <c r="N98" s="302"/>
      <c r="O98" s="302">
        <f>IF(B98&gt;0,Lookups!$B$69,0)</f>
        <v>0</v>
      </c>
      <c r="P98" s="302">
        <f t="shared" si="6"/>
        <v>0</v>
      </c>
    </row>
    <row r="99" spans="1:16" x14ac:dyDescent="0.3">
      <c r="A99" s="458"/>
      <c r="B99" s="52">
        <v>0</v>
      </c>
      <c r="C99" s="92" t="s">
        <v>128</v>
      </c>
      <c r="D99" s="74"/>
      <c r="E99" s="90" t="s">
        <v>159</v>
      </c>
      <c r="F99" s="86"/>
      <c r="G99" s="84" t="s">
        <v>160</v>
      </c>
      <c r="H99" s="402">
        <v>21</v>
      </c>
      <c r="I99" s="38" t="s">
        <v>83</v>
      </c>
      <c r="J99" s="101"/>
      <c r="K99" s="101"/>
      <c r="L99" s="100"/>
      <c r="M99" s="282"/>
      <c r="N99" s="302"/>
      <c r="O99" s="302">
        <f>IF(B99&gt;0,Lookups!$B$69,0)</f>
        <v>0</v>
      </c>
      <c r="P99" s="302">
        <f t="shared" ref="P99:P102" si="7">B99*H99</f>
        <v>0</v>
      </c>
    </row>
    <row r="100" spans="1:16" x14ac:dyDescent="0.3">
      <c r="A100" s="458"/>
      <c r="B100" s="52">
        <v>0</v>
      </c>
      <c r="C100" s="92" t="s">
        <v>128</v>
      </c>
      <c r="D100" s="74"/>
      <c r="E100" s="90" t="s">
        <v>161</v>
      </c>
      <c r="F100" s="86"/>
      <c r="G100" s="84" t="s">
        <v>162</v>
      </c>
      <c r="H100" s="402">
        <v>31.5</v>
      </c>
      <c r="I100" s="38" t="s">
        <v>83</v>
      </c>
      <c r="J100" s="101"/>
      <c r="K100" s="101"/>
      <c r="L100" s="94"/>
      <c r="M100" s="282"/>
      <c r="N100" s="302"/>
      <c r="O100" s="302">
        <f>IF(B100&gt;0,Lookups!$B$69,0)</f>
        <v>0</v>
      </c>
      <c r="P100" s="302">
        <f t="shared" ref="P100:P101" si="8">B100*H100</f>
        <v>0</v>
      </c>
    </row>
    <row r="101" spans="1:16" s="80" customFormat="1" x14ac:dyDescent="0.3">
      <c r="A101" s="458"/>
      <c r="B101" s="70">
        <v>0</v>
      </c>
      <c r="C101" s="92" t="s">
        <v>128</v>
      </c>
      <c r="D101" s="74"/>
      <c r="E101" s="90" t="s">
        <v>163</v>
      </c>
      <c r="F101" s="86"/>
      <c r="G101" s="84" t="s">
        <v>164</v>
      </c>
      <c r="H101" s="402">
        <v>26.25</v>
      </c>
      <c r="I101" s="99" t="s">
        <v>83</v>
      </c>
      <c r="J101" s="387"/>
      <c r="K101" s="387"/>
      <c r="L101" s="388"/>
      <c r="M101" s="285"/>
      <c r="N101" s="303"/>
      <c r="O101" s="303">
        <f>IF(B101&gt;0,Lookups!$B$69,0)</f>
        <v>0</v>
      </c>
      <c r="P101" s="303">
        <f t="shared" si="8"/>
        <v>0</v>
      </c>
    </row>
    <row r="102" spans="1:16" s="80" customFormat="1" x14ac:dyDescent="0.3">
      <c r="A102" s="458"/>
      <c r="B102" s="70">
        <v>0</v>
      </c>
      <c r="C102" s="92" t="s">
        <v>128</v>
      </c>
      <c r="D102" s="74"/>
      <c r="E102" s="90" t="s">
        <v>165</v>
      </c>
      <c r="F102" s="86"/>
      <c r="G102" s="84" t="s">
        <v>166</v>
      </c>
      <c r="H102" s="402">
        <v>35</v>
      </c>
      <c r="I102" s="99" t="s">
        <v>83</v>
      </c>
      <c r="J102" s="387"/>
      <c r="K102" s="387"/>
      <c r="L102" s="388"/>
      <c r="M102" s="285"/>
      <c r="N102" s="303"/>
      <c r="O102" s="303">
        <f>IF(B102&gt;0,Lookups!$B$69,0)</f>
        <v>0</v>
      </c>
      <c r="P102" s="303">
        <f t="shared" si="7"/>
        <v>0</v>
      </c>
    </row>
    <row r="103" spans="1:16" x14ac:dyDescent="0.3">
      <c r="A103" s="458"/>
      <c r="B103" s="36"/>
      <c r="C103" s="36"/>
      <c r="D103" s="1"/>
      <c r="E103" s="75"/>
      <c r="F103" s="75"/>
      <c r="G103" s="76"/>
      <c r="H103" s="77"/>
      <c r="J103" s="102"/>
      <c r="K103" s="102"/>
      <c r="L103" s="105"/>
      <c r="M103" s="282"/>
      <c r="N103" s="302"/>
      <c r="O103" s="302"/>
      <c r="P103" s="302"/>
    </row>
    <row r="104" spans="1:16" x14ac:dyDescent="0.3">
      <c r="A104" s="458"/>
      <c r="B104" s="36"/>
      <c r="C104" s="36"/>
      <c r="D104" s="1"/>
      <c r="E104" s="75"/>
      <c r="F104" s="75"/>
      <c r="G104" s="76"/>
      <c r="H104" s="77"/>
      <c r="J104" s="102"/>
      <c r="K104" s="102"/>
      <c r="L104" s="105"/>
      <c r="M104" s="282"/>
      <c r="N104" s="302"/>
      <c r="O104" s="302"/>
      <c r="P104" s="302"/>
    </row>
    <row r="105" spans="1:16" x14ac:dyDescent="0.3">
      <c r="A105" s="458"/>
      <c r="B105" s="70">
        <v>0</v>
      </c>
      <c r="C105" s="92" t="s">
        <v>128</v>
      </c>
      <c r="D105" s="74"/>
      <c r="E105" s="90" t="s">
        <v>167</v>
      </c>
      <c r="F105" s="86"/>
      <c r="G105" s="84" t="s">
        <v>168</v>
      </c>
      <c r="H105" s="402">
        <v>7.88</v>
      </c>
      <c r="I105" s="99" t="s">
        <v>83</v>
      </c>
      <c r="J105" s="387"/>
      <c r="K105" s="387"/>
      <c r="L105" s="388"/>
      <c r="M105" s="285"/>
      <c r="N105" s="303"/>
      <c r="O105" s="303"/>
      <c r="P105" s="303">
        <f t="shared" ref="P105" si="9">B105*H105</f>
        <v>0</v>
      </c>
    </row>
    <row r="106" spans="1:16" x14ac:dyDescent="0.3">
      <c r="A106" s="458"/>
      <c r="B106" s="36"/>
      <c r="C106" s="36"/>
      <c r="D106" s="1"/>
      <c r="E106" s="75"/>
      <c r="F106" s="75"/>
      <c r="G106" s="76"/>
      <c r="H106" s="77"/>
      <c r="J106" s="102"/>
      <c r="K106" s="102"/>
      <c r="L106" s="105"/>
      <c r="M106" s="282"/>
      <c r="N106" s="302"/>
      <c r="O106" s="302"/>
      <c r="P106" s="302"/>
    </row>
    <row r="107" spans="1:16" x14ac:dyDescent="0.3">
      <c r="A107" s="458"/>
      <c r="B107" s="52">
        <v>0</v>
      </c>
      <c r="C107" s="92" t="s">
        <v>128</v>
      </c>
      <c r="D107" s="74"/>
      <c r="E107" s="90" t="s">
        <v>169</v>
      </c>
      <c r="F107" s="86"/>
      <c r="G107" s="84" t="s">
        <v>170</v>
      </c>
      <c r="H107" s="402">
        <v>85</v>
      </c>
      <c r="I107" s="38" t="s">
        <v>75</v>
      </c>
      <c r="J107" s="101"/>
      <c r="K107" s="101"/>
      <c r="L107" s="94"/>
      <c r="M107" s="282"/>
      <c r="N107" s="302">
        <f>B107*H107</f>
        <v>0</v>
      </c>
      <c r="O107" s="302">
        <f>IF(B107&gt;0,Lookups!$B$71,0)</f>
        <v>0</v>
      </c>
      <c r="P107" s="302"/>
    </row>
    <row r="108" spans="1:16" x14ac:dyDescent="0.3">
      <c r="A108" s="458"/>
      <c r="B108" s="52">
        <v>0</v>
      </c>
      <c r="C108" s="92" t="s">
        <v>128</v>
      </c>
      <c r="D108" s="74"/>
      <c r="E108" s="90" t="s">
        <v>171</v>
      </c>
      <c r="F108" s="86"/>
      <c r="G108" s="84" t="s">
        <v>172</v>
      </c>
      <c r="H108" s="402">
        <v>165</v>
      </c>
      <c r="I108" s="38" t="s">
        <v>75</v>
      </c>
      <c r="J108" s="101"/>
      <c r="K108" s="101"/>
      <c r="L108" s="94"/>
      <c r="M108" s="282"/>
      <c r="N108" s="302">
        <f>B108*H108</f>
        <v>0</v>
      </c>
      <c r="O108" s="302">
        <f>IF(B108&gt;0,Lookups!$B$71,0)</f>
        <v>0</v>
      </c>
      <c r="P108" s="302"/>
    </row>
    <row r="109" spans="1:16" x14ac:dyDescent="0.3">
      <c r="A109" s="458"/>
      <c r="B109" s="73"/>
      <c r="C109" s="73"/>
      <c r="D109" s="74"/>
      <c r="E109" s="103" t="s">
        <v>173</v>
      </c>
      <c r="G109" s="64"/>
      <c r="H109" s="104"/>
      <c r="J109" s="102"/>
      <c r="K109" s="102"/>
      <c r="L109" s="105"/>
      <c r="M109" s="282"/>
      <c r="N109" s="302"/>
      <c r="O109" s="302"/>
      <c r="P109" s="302"/>
    </row>
    <row r="110" spans="1:16" ht="15" x14ac:dyDescent="0.3">
      <c r="A110" s="458"/>
      <c r="B110" s="73"/>
      <c r="C110" s="73"/>
      <c r="D110" s="74"/>
      <c r="E110" s="75" t="s">
        <v>174</v>
      </c>
      <c r="G110" s="64"/>
      <c r="H110" s="104"/>
      <c r="J110" s="102"/>
      <c r="K110" s="102"/>
      <c r="L110" s="105"/>
      <c r="M110" s="282"/>
      <c r="N110" s="302"/>
      <c r="O110" s="302"/>
      <c r="P110" s="302"/>
    </row>
    <row r="111" spans="1:16" x14ac:dyDescent="0.3">
      <c r="A111" s="458"/>
      <c r="B111" s="36"/>
      <c r="C111" s="36"/>
      <c r="D111" s="1"/>
      <c r="E111" s="75"/>
      <c r="F111" s="75"/>
      <c r="G111" s="45"/>
      <c r="H111" s="58"/>
      <c r="J111" s="102"/>
      <c r="K111" s="102"/>
      <c r="L111" s="105"/>
      <c r="M111" s="282"/>
      <c r="N111" s="302"/>
      <c r="O111" s="302"/>
      <c r="P111" s="302"/>
    </row>
    <row r="112" spans="1:16" x14ac:dyDescent="0.3">
      <c r="A112" s="458"/>
      <c r="B112" s="36"/>
      <c r="C112" s="36"/>
      <c r="D112" s="1"/>
      <c r="E112" s="75"/>
      <c r="F112" s="75"/>
      <c r="G112" s="45"/>
      <c r="H112" s="58"/>
      <c r="J112" s="102"/>
      <c r="K112" s="102"/>
      <c r="L112" s="105"/>
      <c r="M112" s="282"/>
      <c r="N112" s="302"/>
      <c r="O112" s="302"/>
      <c r="P112" s="302"/>
    </row>
    <row r="113" spans="1:16" ht="15" customHeight="1" x14ac:dyDescent="0.3">
      <c r="A113" s="458"/>
      <c r="B113" s="203"/>
      <c r="C113" s="204"/>
      <c r="D113" s="157" t="s">
        <v>175</v>
      </c>
      <c r="E113" s="47"/>
      <c r="F113" s="47"/>
      <c r="G113" s="47"/>
      <c r="H113" s="48"/>
      <c r="I113" s="49"/>
      <c r="J113" s="49"/>
      <c r="K113" s="49"/>
      <c r="L113" s="170"/>
      <c r="M113" s="280">
        <f>SUM(M114:M121)</f>
        <v>0</v>
      </c>
      <c r="N113" s="300">
        <f t="shared" ref="N113:P113" si="10">SUM(N114:N121)</f>
        <v>0</v>
      </c>
      <c r="O113" s="300">
        <f>SUM(O114:O121)</f>
        <v>0</v>
      </c>
      <c r="P113" s="300">
        <f t="shared" si="10"/>
        <v>0</v>
      </c>
    </row>
    <row r="114" spans="1:16" ht="15.6" x14ac:dyDescent="0.3">
      <c r="A114" s="458"/>
      <c r="B114" s="52">
        <v>0</v>
      </c>
      <c r="C114" s="92" t="s">
        <v>176</v>
      </c>
      <c r="D114" s="174"/>
      <c r="E114" s="90" t="s">
        <v>177</v>
      </c>
      <c r="F114" s="86"/>
      <c r="G114" s="86" t="s">
        <v>178</v>
      </c>
      <c r="H114" s="402">
        <v>10.5</v>
      </c>
      <c r="I114" s="77" t="s">
        <v>83</v>
      </c>
      <c r="J114" s="77"/>
      <c r="K114" s="77"/>
      <c r="L114" s="77"/>
      <c r="M114" s="290"/>
      <c r="N114" s="303"/>
      <c r="O114" s="303"/>
      <c r="P114" s="303">
        <f>+H114*B114</f>
        <v>0</v>
      </c>
    </row>
    <row r="115" spans="1:16" s="80" customFormat="1" ht="15.6" x14ac:dyDescent="0.3">
      <c r="A115" s="458"/>
      <c r="B115" s="52">
        <v>0</v>
      </c>
      <c r="C115" s="92" t="s">
        <v>176</v>
      </c>
      <c r="D115" s="174"/>
      <c r="E115" s="472" t="s">
        <v>179</v>
      </c>
      <c r="F115" s="473"/>
      <c r="G115" s="86" t="s">
        <v>180</v>
      </c>
      <c r="H115" s="402">
        <v>10.5</v>
      </c>
      <c r="I115" s="77" t="s">
        <v>83</v>
      </c>
      <c r="J115" s="77"/>
      <c r="K115" s="77"/>
      <c r="L115" s="77"/>
      <c r="M115" s="290"/>
      <c r="N115" s="303"/>
      <c r="O115" s="302">
        <f>IF(B115&gt;0,Lookups!$B$72,0)</f>
        <v>0</v>
      </c>
      <c r="P115" s="303">
        <f>+H115*B115</f>
        <v>0</v>
      </c>
    </row>
    <row r="116" spans="1:16" s="80" customFormat="1" ht="15.6" x14ac:dyDescent="0.3">
      <c r="A116" s="458"/>
      <c r="B116" s="52">
        <v>0</v>
      </c>
      <c r="C116" s="92" t="s">
        <v>176</v>
      </c>
      <c r="D116" s="174"/>
      <c r="E116" s="472" t="s">
        <v>181</v>
      </c>
      <c r="F116" s="473"/>
      <c r="G116" s="86" t="s">
        <v>182</v>
      </c>
      <c r="H116" s="402">
        <v>15.75</v>
      </c>
      <c r="I116" s="77" t="s">
        <v>83</v>
      </c>
      <c r="J116" s="77"/>
      <c r="K116" s="77"/>
      <c r="L116" s="77"/>
      <c r="M116" s="290"/>
      <c r="N116" s="303"/>
      <c r="O116" s="302">
        <f>IF(B116&gt;0,Lookups!$B$72,0)</f>
        <v>0</v>
      </c>
      <c r="P116" s="303">
        <f>+H116*B116</f>
        <v>0</v>
      </c>
    </row>
    <row r="117" spans="1:16" s="80" customFormat="1" x14ac:dyDescent="0.3">
      <c r="A117" s="458"/>
      <c r="B117" s="52">
        <v>0</v>
      </c>
      <c r="C117" s="92" t="s">
        <v>176</v>
      </c>
      <c r="D117" s="74"/>
      <c r="E117" s="90" t="s">
        <v>183</v>
      </c>
      <c r="F117" s="67"/>
      <c r="G117" s="86" t="s">
        <v>184</v>
      </c>
      <c r="H117" s="402">
        <v>87.5</v>
      </c>
      <c r="I117" s="77" t="s">
        <v>86</v>
      </c>
      <c r="J117" s="74"/>
      <c r="K117" s="74"/>
      <c r="L117" s="113"/>
      <c r="M117" s="285">
        <f>+H117*B117</f>
        <v>0</v>
      </c>
      <c r="N117" s="303"/>
      <c r="O117" s="317"/>
      <c r="P117" s="317"/>
    </row>
    <row r="118" spans="1:16" s="80" customFormat="1" x14ac:dyDescent="0.3">
      <c r="A118" s="458"/>
      <c r="B118" s="52">
        <v>0</v>
      </c>
      <c r="C118" s="92" t="s">
        <v>176</v>
      </c>
      <c r="D118" s="74"/>
      <c r="E118" s="90" t="s">
        <v>185</v>
      </c>
      <c r="F118" s="67"/>
      <c r="G118" s="86" t="s">
        <v>186</v>
      </c>
      <c r="H118" s="402">
        <v>225</v>
      </c>
      <c r="I118" s="77" t="s">
        <v>86</v>
      </c>
      <c r="J118" s="74"/>
      <c r="K118" s="74"/>
      <c r="L118" s="113"/>
      <c r="M118" s="285">
        <f>+H118*B118</f>
        <v>0</v>
      </c>
      <c r="N118" s="303"/>
      <c r="O118" s="317"/>
      <c r="P118" s="317"/>
    </row>
    <row r="119" spans="1:16" s="80" customFormat="1" ht="15" customHeight="1" x14ac:dyDescent="0.3">
      <c r="A119" s="458"/>
      <c r="B119" s="52">
        <v>0</v>
      </c>
      <c r="C119" s="53" t="s">
        <v>187</v>
      </c>
      <c r="D119" s="1"/>
      <c r="E119" s="474" t="s">
        <v>188</v>
      </c>
      <c r="F119" s="475"/>
      <c r="G119" s="138"/>
      <c r="H119" s="402">
        <v>225</v>
      </c>
      <c r="I119" s="77" t="s">
        <v>86</v>
      </c>
      <c r="J119" s="1"/>
      <c r="K119" s="1"/>
      <c r="L119" s="37"/>
      <c r="M119" s="282">
        <f>+H119*B119</f>
        <v>0</v>
      </c>
      <c r="N119" s="302"/>
      <c r="O119" s="302"/>
      <c r="P119" s="302"/>
    </row>
    <row r="120" spans="1:16" x14ac:dyDescent="0.3">
      <c r="A120" s="458"/>
      <c r="C120" s="36"/>
      <c r="D120" s="1"/>
      <c r="E120" s="74" t="s">
        <v>189</v>
      </c>
      <c r="F120" s="64"/>
      <c r="G120" s="64"/>
      <c r="H120" s="104"/>
      <c r="I120" s="80"/>
      <c r="J120" s="1"/>
      <c r="K120" s="1"/>
      <c r="L120" s="62"/>
      <c r="M120" s="284"/>
      <c r="N120" s="304"/>
      <c r="O120" s="304"/>
      <c r="P120" s="304"/>
    </row>
    <row r="121" spans="1:16" x14ac:dyDescent="0.3">
      <c r="A121" s="458"/>
      <c r="C121" s="36"/>
      <c r="D121" s="1"/>
      <c r="E121" s="60"/>
      <c r="F121" s="64"/>
      <c r="G121" s="64"/>
      <c r="H121" s="104"/>
      <c r="I121" s="80"/>
      <c r="J121" s="1"/>
      <c r="K121" s="1"/>
      <c r="L121" s="62"/>
      <c r="M121" s="284"/>
      <c r="N121" s="304"/>
      <c r="O121" s="304"/>
      <c r="P121" s="304"/>
    </row>
    <row r="122" spans="1:16" ht="15.6" x14ac:dyDescent="0.3">
      <c r="A122" s="458"/>
      <c r="B122" s="203"/>
      <c r="C122" s="204"/>
      <c r="D122" s="157" t="s">
        <v>302</v>
      </c>
      <c r="E122" s="47"/>
      <c r="F122" s="47"/>
      <c r="G122" s="47"/>
      <c r="H122" s="48"/>
      <c r="I122" s="49"/>
      <c r="J122" s="49"/>
      <c r="K122" s="49"/>
      <c r="L122" s="170"/>
      <c r="M122" s="280">
        <f>SUM(M123:M129)</f>
        <v>0</v>
      </c>
      <c r="N122" s="300">
        <f t="shared" ref="N122:P122" si="11">SUM(N123:N129)</f>
        <v>0</v>
      </c>
      <c r="O122" s="300">
        <f t="shared" si="11"/>
        <v>0</v>
      </c>
      <c r="P122" s="300">
        <f t="shared" si="11"/>
        <v>0</v>
      </c>
    </row>
    <row r="123" spans="1:16" s="80" customFormat="1" ht="15.6" x14ac:dyDescent="0.3">
      <c r="A123" s="458"/>
      <c r="B123" s="70">
        <v>0</v>
      </c>
      <c r="C123" s="92" t="s">
        <v>275</v>
      </c>
      <c r="D123" s="174"/>
      <c r="E123" s="90" t="s">
        <v>303</v>
      </c>
      <c r="F123" s="138"/>
      <c r="G123" s="86" t="s">
        <v>304</v>
      </c>
      <c r="H123" s="402">
        <v>3.15</v>
      </c>
      <c r="I123" s="77" t="s">
        <v>83</v>
      </c>
      <c r="J123" s="179"/>
      <c r="K123" s="179"/>
      <c r="L123" s="77"/>
      <c r="M123" s="283"/>
      <c r="N123" s="303"/>
      <c r="O123" s="302"/>
      <c r="P123" s="302">
        <f>B123*H123</f>
        <v>0</v>
      </c>
    </row>
    <row r="124" spans="1:16" s="80" customFormat="1" ht="15.6" x14ac:dyDescent="0.3">
      <c r="A124" s="458"/>
      <c r="B124" s="36">
        <v>0</v>
      </c>
      <c r="C124" s="92" t="s">
        <v>176</v>
      </c>
      <c r="D124" s="174"/>
      <c r="E124" s="90" t="s">
        <v>305</v>
      </c>
      <c r="F124" s="86"/>
      <c r="G124" s="86" t="s">
        <v>306</v>
      </c>
      <c r="H124" s="402">
        <v>350</v>
      </c>
      <c r="I124" s="77" t="s">
        <v>75</v>
      </c>
      <c r="J124" s="179"/>
      <c r="K124" s="179"/>
      <c r="L124" s="77"/>
      <c r="M124" s="283"/>
      <c r="N124" s="303">
        <f>B124*H124</f>
        <v>0</v>
      </c>
      <c r="O124" s="303"/>
      <c r="P124" s="303"/>
    </row>
    <row r="125" spans="1:16" s="80" customFormat="1" ht="15.6" x14ac:dyDescent="0.3">
      <c r="A125" s="458"/>
      <c r="B125" s="36">
        <f>IF(B123=0,0,IF((ROUNDUP(B123/10,0)-(B123/10))&lt;0.5,ROUNDUP(B123/10,0),ROUNDDOWN(B123/10,0)))</f>
        <v>0</v>
      </c>
      <c r="C125" s="92" t="s">
        <v>176</v>
      </c>
      <c r="D125" s="174"/>
      <c r="E125" s="90" t="s">
        <v>307</v>
      </c>
      <c r="F125" s="86"/>
      <c r="G125" s="86" t="s">
        <v>308</v>
      </c>
      <c r="H125" s="402">
        <v>680</v>
      </c>
      <c r="I125" s="77" t="s">
        <v>75</v>
      </c>
      <c r="J125" s="77"/>
      <c r="K125" s="77"/>
      <c r="L125" s="77"/>
      <c r="M125" s="283"/>
      <c r="N125" s="303">
        <f>B125*H125</f>
        <v>0</v>
      </c>
      <c r="O125" s="303"/>
      <c r="P125" s="303"/>
    </row>
    <row r="126" spans="1:16" s="80" customFormat="1" ht="15.6" x14ac:dyDescent="0.3">
      <c r="A126" s="458"/>
      <c r="B126" s="99">
        <f>B123</f>
        <v>0</v>
      </c>
      <c r="C126" s="92" t="s">
        <v>275</v>
      </c>
      <c r="D126" s="174"/>
      <c r="E126" s="90" t="s">
        <v>309</v>
      </c>
      <c r="F126" s="86"/>
      <c r="G126" s="86" t="s">
        <v>310</v>
      </c>
      <c r="H126" s="402">
        <v>26.25</v>
      </c>
      <c r="I126" s="77" t="s">
        <v>86</v>
      </c>
      <c r="J126" s="77"/>
      <c r="K126" s="77"/>
      <c r="L126" s="77"/>
      <c r="M126" s="283">
        <f>B126*H126</f>
        <v>0</v>
      </c>
      <c r="N126" s="303"/>
      <c r="O126" s="303"/>
      <c r="P126" s="303"/>
    </row>
    <row r="127" spans="1:16" ht="15" customHeight="1" x14ac:dyDescent="0.3">
      <c r="A127" s="458"/>
      <c r="C127" s="36"/>
      <c r="D127" s="1"/>
      <c r="E127" s="216" t="s">
        <v>311</v>
      </c>
      <c r="F127" s="217"/>
      <c r="H127" s="140"/>
      <c r="I127" s="74"/>
      <c r="J127" s="1"/>
      <c r="K127" s="1"/>
      <c r="L127" s="37"/>
      <c r="M127" s="282"/>
      <c r="N127" s="302"/>
      <c r="O127" s="302"/>
      <c r="P127" s="302"/>
    </row>
    <row r="128" spans="1:16" ht="15" customHeight="1" x14ac:dyDescent="0.3">
      <c r="A128" s="458"/>
      <c r="C128" s="36"/>
      <c r="D128" s="1"/>
      <c r="E128" s="216" t="s">
        <v>312</v>
      </c>
      <c r="F128" s="122"/>
      <c r="H128" s="1"/>
      <c r="I128" s="74"/>
      <c r="J128" s="1"/>
      <c r="K128" s="1"/>
      <c r="L128" s="37"/>
      <c r="M128" s="282"/>
      <c r="N128" s="302"/>
      <c r="O128" s="302"/>
      <c r="P128" s="302"/>
    </row>
    <row r="129" spans="1:33" ht="15" customHeight="1" x14ac:dyDescent="0.3">
      <c r="A129" s="458"/>
      <c r="C129" s="36"/>
      <c r="D129" s="1"/>
      <c r="E129" s="346"/>
      <c r="F129" s="122"/>
      <c r="H129" s="1"/>
      <c r="I129" s="74"/>
      <c r="J129" s="1"/>
      <c r="K129" s="1"/>
      <c r="L129" s="37"/>
      <c r="M129" s="282"/>
      <c r="N129" s="302"/>
      <c r="O129" s="302"/>
      <c r="P129" s="302"/>
    </row>
    <row r="130" spans="1:33" ht="15.6" x14ac:dyDescent="0.3">
      <c r="A130" s="495"/>
      <c r="B130" s="255"/>
      <c r="C130" s="204"/>
      <c r="D130" s="157" t="s">
        <v>313</v>
      </c>
      <c r="E130" s="47"/>
      <c r="F130" s="47"/>
      <c r="G130" s="47"/>
      <c r="H130" s="48"/>
      <c r="I130" s="49"/>
      <c r="J130" s="49"/>
      <c r="K130" s="49"/>
      <c r="L130" s="170"/>
      <c r="M130" s="280">
        <f>SUM(M131:M175)</f>
        <v>0</v>
      </c>
      <c r="N130" s="300">
        <f>SUM(N131:N175)</f>
        <v>0</v>
      </c>
      <c r="O130" s="300">
        <f>SUM(O131:O175)</f>
        <v>0</v>
      </c>
      <c r="P130" s="300">
        <f>SUM(P131:P175)</f>
        <v>0</v>
      </c>
    </row>
    <row r="131" spans="1:33" ht="15" customHeight="1" x14ac:dyDescent="0.3">
      <c r="A131" s="495"/>
      <c r="B131" s="162"/>
      <c r="C131" s="162"/>
      <c r="D131" s="159"/>
      <c r="E131" s="159" t="s">
        <v>314</v>
      </c>
      <c r="F131" s="110"/>
      <c r="G131" s="110"/>
      <c r="H131" s="111"/>
      <c r="I131" s="177"/>
      <c r="J131" s="112"/>
      <c r="K131" s="112"/>
      <c r="L131" s="171"/>
      <c r="M131" s="281"/>
      <c r="N131" s="301"/>
      <c r="O131" s="301"/>
      <c r="P131" s="301"/>
    </row>
    <row r="132" spans="1:33" ht="15" customHeight="1" x14ac:dyDescent="0.3">
      <c r="A132" s="495"/>
      <c r="B132" s="52">
        <v>0</v>
      </c>
      <c r="C132" s="53" t="s">
        <v>315</v>
      </c>
      <c r="D132" s="1"/>
      <c r="E132" s="54" t="s">
        <v>316</v>
      </c>
      <c r="F132" s="107"/>
      <c r="G132" s="87" t="s">
        <v>317</v>
      </c>
      <c r="H132" s="72">
        <v>5.8</v>
      </c>
      <c r="I132" s="77" t="s">
        <v>83</v>
      </c>
      <c r="J132" s="56"/>
      <c r="K132" s="56"/>
      <c r="L132" s="56"/>
      <c r="M132" s="282"/>
      <c r="N132" s="302"/>
      <c r="O132" s="302"/>
      <c r="P132" s="302">
        <f>B132*H132</f>
        <v>0</v>
      </c>
    </row>
    <row r="133" spans="1:33" x14ac:dyDescent="0.3">
      <c r="A133" s="495"/>
      <c r="B133" s="70">
        <v>0</v>
      </c>
      <c r="C133" s="53" t="s">
        <v>315</v>
      </c>
      <c r="D133" s="1"/>
      <c r="E133" s="54" t="s">
        <v>318</v>
      </c>
      <c r="F133" s="107"/>
      <c r="G133" s="87" t="s">
        <v>319</v>
      </c>
      <c r="H133" s="72">
        <v>8.4</v>
      </c>
      <c r="I133" s="77" t="s">
        <v>83</v>
      </c>
      <c r="J133" s="56"/>
      <c r="K133" s="56"/>
      <c r="L133" s="56"/>
      <c r="M133" s="282"/>
      <c r="N133" s="302"/>
      <c r="O133" s="302"/>
      <c r="P133" s="302">
        <f t="shared" ref="P133:P138" si="12">B133*H133</f>
        <v>0</v>
      </c>
      <c r="AF133" s="57"/>
      <c r="AG133" s="57"/>
    </row>
    <row r="134" spans="1:33" x14ac:dyDescent="0.3">
      <c r="A134" s="495"/>
      <c r="B134" s="52">
        <v>0</v>
      </c>
      <c r="C134" s="53" t="s">
        <v>315</v>
      </c>
      <c r="D134" s="1"/>
      <c r="E134" s="54" t="s">
        <v>320</v>
      </c>
      <c r="F134" s="107"/>
      <c r="G134" s="87" t="s">
        <v>321</v>
      </c>
      <c r="H134" s="72">
        <v>17.350000000000001</v>
      </c>
      <c r="I134" s="77" t="s">
        <v>83</v>
      </c>
      <c r="J134" s="56"/>
      <c r="K134" s="56"/>
      <c r="L134" s="56"/>
      <c r="M134" s="282"/>
      <c r="N134" s="302"/>
      <c r="O134" s="302"/>
      <c r="P134" s="302">
        <f t="shared" si="12"/>
        <v>0</v>
      </c>
    </row>
    <row r="135" spans="1:33" x14ac:dyDescent="0.3">
      <c r="A135" s="495"/>
      <c r="B135" s="52">
        <v>0</v>
      </c>
      <c r="C135" s="53" t="s">
        <v>315</v>
      </c>
      <c r="D135" s="1"/>
      <c r="E135" s="54" t="s">
        <v>322</v>
      </c>
      <c r="F135" s="107"/>
      <c r="G135" s="87" t="s">
        <v>323</v>
      </c>
      <c r="H135" s="72">
        <v>29.4</v>
      </c>
      <c r="I135" s="77" t="s">
        <v>83</v>
      </c>
      <c r="J135" s="56"/>
      <c r="K135" s="56"/>
      <c r="L135" s="56"/>
      <c r="M135" s="282"/>
      <c r="N135" s="302"/>
      <c r="O135" s="302"/>
      <c r="P135" s="302">
        <f t="shared" si="12"/>
        <v>0</v>
      </c>
    </row>
    <row r="136" spans="1:33" ht="15" customHeight="1" x14ac:dyDescent="0.3">
      <c r="A136" s="495"/>
      <c r="B136" s="52">
        <v>0</v>
      </c>
      <c r="C136" s="53" t="s">
        <v>315</v>
      </c>
      <c r="D136" s="1"/>
      <c r="E136" s="54" t="s">
        <v>324</v>
      </c>
      <c r="F136" s="107"/>
      <c r="G136" s="87" t="s">
        <v>325</v>
      </c>
      <c r="H136" s="72">
        <v>13.65</v>
      </c>
      <c r="I136" s="77" t="s">
        <v>83</v>
      </c>
      <c r="J136" s="56"/>
      <c r="K136" s="56"/>
      <c r="L136" s="56"/>
      <c r="M136" s="282"/>
      <c r="N136" s="302"/>
      <c r="O136" s="302"/>
      <c r="P136" s="302">
        <f t="shared" si="12"/>
        <v>0</v>
      </c>
    </row>
    <row r="137" spans="1:33" ht="15" customHeight="1" x14ac:dyDescent="0.3">
      <c r="A137" s="495"/>
      <c r="B137" s="52">
        <v>0</v>
      </c>
      <c r="C137" s="53" t="s">
        <v>315</v>
      </c>
      <c r="D137" s="1"/>
      <c r="E137" s="54" t="s">
        <v>326</v>
      </c>
      <c r="F137" s="107"/>
      <c r="G137" s="87" t="s">
        <v>327</v>
      </c>
      <c r="H137" s="72">
        <v>30.45</v>
      </c>
      <c r="I137" s="77" t="s">
        <v>83</v>
      </c>
      <c r="J137" s="56"/>
      <c r="K137" s="56"/>
      <c r="L137" s="56"/>
      <c r="M137" s="282"/>
      <c r="N137" s="302"/>
      <c r="O137" s="302"/>
      <c r="P137" s="302">
        <f t="shared" si="12"/>
        <v>0</v>
      </c>
    </row>
    <row r="138" spans="1:33" ht="15" customHeight="1" x14ac:dyDescent="0.3">
      <c r="A138" s="495"/>
      <c r="B138" s="52">
        <v>0</v>
      </c>
      <c r="C138" s="53" t="s">
        <v>315</v>
      </c>
      <c r="D138" s="1"/>
      <c r="E138" s="54" t="s">
        <v>328</v>
      </c>
      <c r="F138" s="107"/>
      <c r="G138" s="87" t="s">
        <v>329</v>
      </c>
      <c r="H138" s="72">
        <v>47.25</v>
      </c>
      <c r="I138" s="77" t="s">
        <v>83</v>
      </c>
      <c r="J138" s="56"/>
      <c r="K138" s="56"/>
      <c r="L138" s="56"/>
      <c r="M138" s="282"/>
      <c r="N138" s="302"/>
      <c r="O138" s="302"/>
      <c r="P138" s="302">
        <f t="shared" si="12"/>
        <v>0</v>
      </c>
    </row>
    <row r="139" spans="1:33" ht="15" customHeight="1" x14ac:dyDescent="0.3">
      <c r="A139" s="495"/>
      <c r="B139" s="371" t="s">
        <v>330</v>
      </c>
      <c r="C139" s="274"/>
      <c r="D139" s="274"/>
      <c r="E139" s="154" t="s">
        <v>331</v>
      </c>
      <c r="F139" s="45"/>
      <c r="G139" s="45"/>
      <c r="H139" s="45"/>
      <c r="I139" s="58"/>
      <c r="J139" s="1"/>
      <c r="K139" s="1"/>
      <c r="L139" s="37"/>
      <c r="M139" s="282"/>
      <c r="N139" s="302"/>
      <c r="O139" s="316"/>
      <c r="P139" s="316"/>
    </row>
    <row r="140" spans="1:33" ht="15" customHeight="1" x14ac:dyDescent="0.3">
      <c r="A140" s="495"/>
      <c r="B140" s="371" t="s">
        <v>332</v>
      </c>
      <c r="C140" s="274"/>
      <c r="D140" s="274"/>
      <c r="E140" s="381" t="s">
        <v>333</v>
      </c>
      <c r="F140" s="45"/>
      <c r="G140" s="45"/>
      <c r="H140" s="58"/>
      <c r="I140" s="58"/>
      <c r="J140" s="1"/>
      <c r="K140" s="1"/>
      <c r="L140" s="37"/>
      <c r="M140" s="282"/>
      <c r="N140" s="302"/>
      <c r="O140" s="316"/>
      <c r="P140" s="316"/>
    </row>
    <row r="141" spans="1:33" s="89" customFormat="1" ht="15" customHeight="1" x14ac:dyDescent="0.3">
      <c r="A141" s="495"/>
      <c r="B141" s="372"/>
      <c r="C141" s="372"/>
      <c r="D141" s="183"/>
      <c r="E141" s="159" t="s">
        <v>334</v>
      </c>
      <c r="F141" s="329"/>
      <c r="G141" s="329"/>
      <c r="H141" s="330"/>
      <c r="I141" s="177"/>
      <c r="J141" s="177"/>
      <c r="K141" s="177"/>
      <c r="L141" s="331"/>
      <c r="M141" s="332"/>
      <c r="N141" s="333"/>
      <c r="O141" s="333"/>
      <c r="P141" s="333"/>
    </row>
    <row r="142" spans="1:33" s="218" customFormat="1" ht="15" customHeight="1" x14ac:dyDescent="0.3">
      <c r="A142" s="495"/>
      <c r="B142" s="70">
        <v>0</v>
      </c>
      <c r="C142" s="92" t="s">
        <v>315</v>
      </c>
      <c r="D142" s="74"/>
      <c r="E142" s="54" t="s">
        <v>335</v>
      </c>
      <c r="F142" s="107"/>
      <c r="G142" s="87" t="s">
        <v>336</v>
      </c>
      <c r="H142" s="72">
        <v>4.75</v>
      </c>
      <c r="I142" s="77" t="s">
        <v>83</v>
      </c>
      <c r="J142" s="79"/>
      <c r="K142" s="79"/>
      <c r="L142" s="79"/>
      <c r="M142" s="285"/>
      <c r="N142" s="303"/>
      <c r="O142" s="303"/>
      <c r="P142" s="303">
        <f>B142*H142</f>
        <v>0</v>
      </c>
    </row>
    <row r="143" spans="1:33" s="218" customFormat="1" x14ac:dyDescent="0.3">
      <c r="A143" s="495"/>
      <c r="B143" s="70">
        <v>0</v>
      </c>
      <c r="C143" s="92" t="s">
        <v>315</v>
      </c>
      <c r="D143" s="74"/>
      <c r="E143" s="54" t="s">
        <v>337</v>
      </c>
      <c r="F143" s="107"/>
      <c r="G143" s="87" t="s">
        <v>338</v>
      </c>
      <c r="H143" s="72">
        <v>7.35</v>
      </c>
      <c r="I143" s="77" t="s">
        <v>83</v>
      </c>
      <c r="J143" s="79"/>
      <c r="K143" s="79"/>
      <c r="L143" s="79"/>
      <c r="M143" s="285"/>
      <c r="N143" s="303"/>
      <c r="O143" s="303"/>
      <c r="P143" s="303">
        <f t="shared" ref="P143:P148" si="13">B143*H143</f>
        <v>0</v>
      </c>
      <c r="AF143" s="370"/>
      <c r="AG143" s="370"/>
    </row>
    <row r="144" spans="1:33" s="218" customFormat="1" x14ac:dyDescent="0.3">
      <c r="A144" s="495"/>
      <c r="B144" s="70">
        <v>0</v>
      </c>
      <c r="C144" s="92" t="s">
        <v>315</v>
      </c>
      <c r="D144" s="74"/>
      <c r="E144" s="54" t="s">
        <v>339</v>
      </c>
      <c r="F144" s="107"/>
      <c r="G144" s="87" t="s">
        <v>340</v>
      </c>
      <c r="H144" s="72">
        <v>14.7</v>
      </c>
      <c r="I144" s="77" t="s">
        <v>83</v>
      </c>
      <c r="J144" s="79"/>
      <c r="K144" s="79"/>
      <c r="L144" s="79"/>
      <c r="M144" s="285"/>
      <c r="N144" s="303"/>
      <c r="O144" s="303"/>
      <c r="P144" s="303">
        <f t="shared" si="13"/>
        <v>0</v>
      </c>
    </row>
    <row r="145" spans="1:16" s="218" customFormat="1" x14ac:dyDescent="0.3">
      <c r="A145" s="495"/>
      <c r="B145" s="70">
        <v>0</v>
      </c>
      <c r="C145" s="92" t="s">
        <v>315</v>
      </c>
      <c r="D145" s="74"/>
      <c r="E145" s="54" t="s">
        <v>341</v>
      </c>
      <c r="F145" s="107"/>
      <c r="G145" s="87" t="s">
        <v>342</v>
      </c>
      <c r="H145" s="72">
        <v>25.2</v>
      </c>
      <c r="I145" s="77" t="s">
        <v>83</v>
      </c>
      <c r="J145" s="79"/>
      <c r="K145" s="79"/>
      <c r="L145" s="79"/>
      <c r="M145" s="285"/>
      <c r="N145" s="303"/>
      <c r="O145" s="303"/>
      <c r="P145" s="303">
        <f t="shared" si="13"/>
        <v>0</v>
      </c>
    </row>
    <row r="146" spans="1:16" s="218" customFormat="1" ht="15" customHeight="1" x14ac:dyDescent="0.3">
      <c r="A146" s="495"/>
      <c r="B146" s="70">
        <v>0</v>
      </c>
      <c r="C146" s="92" t="s">
        <v>315</v>
      </c>
      <c r="D146" s="74"/>
      <c r="E146" s="54" t="s">
        <v>343</v>
      </c>
      <c r="F146" s="107"/>
      <c r="G146" s="87" t="s">
        <v>344</v>
      </c>
      <c r="H146" s="72">
        <v>11.05</v>
      </c>
      <c r="I146" s="77" t="s">
        <v>83</v>
      </c>
      <c r="J146" s="79"/>
      <c r="K146" s="79"/>
      <c r="L146" s="79"/>
      <c r="M146" s="285"/>
      <c r="N146" s="303"/>
      <c r="O146" s="303"/>
      <c r="P146" s="303">
        <f t="shared" si="13"/>
        <v>0</v>
      </c>
    </row>
    <row r="147" spans="1:16" s="218" customFormat="1" ht="15" customHeight="1" x14ac:dyDescent="0.3">
      <c r="A147" s="495"/>
      <c r="B147" s="70">
        <v>0</v>
      </c>
      <c r="C147" s="92" t="s">
        <v>315</v>
      </c>
      <c r="D147" s="74"/>
      <c r="E147" s="54" t="s">
        <v>345</v>
      </c>
      <c r="F147" s="107"/>
      <c r="G147" s="87" t="s">
        <v>346</v>
      </c>
      <c r="H147" s="72">
        <v>26.8</v>
      </c>
      <c r="I147" s="77" t="s">
        <v>83</v>
      </c>
      <c r="J147" s="79"/>
      <c r="K147" s="79"/>
      <c r="L147" s="79"/>
      <c r="M147" s="285"/>
      <c r="N147" s="303"/>
      <c r="O147" s="303"/>
      <c r="P147" s="303">
        <f t="shared" si="13"/>
        <v>0</v>
      </c>
    </row>
    <row r="148" spans="1:16" s="218" customFormat="1" ht="15" customHeight="1" x14ac:dyDescent="0.3">
      <c r="A148" s="495"/>
      <c r="B148" s="70">
        <v>0</v>
      </c>
      <c r="C148" s="92" t="s">
        <v>315</v>
      </c>
      <c r="D148" s="74"/>
      <c r="E148" s="54" t="s">
        <v>347</v>
      </c>
      <c r="F148" s="107"/>
      <c r="G148" s="87" t="s">
        <v>348</v>
      </c>
      <c r="H148" s="72">
        <v>42</v>
      </c>
      <c r="I148" s="77" t="s">
        <v>83</v>
      </c>
      <c r="J148" s="79"/>
      <c r="K148" s="79"/>
      <c r="L148" s="79"/>
      <c r="M148" s="285"/>
      <c r="N148" s="303"/>
      <c r="O148" s="303"/>
      <c r="P148" s="303">
        <f t="shared" si="13"/>
        <v>0</v>
      </c>
    </row>
    <row r="149" spans="1:16" s="218" customFormat="1" ht="15" customHeight="1" x14ac:dyDescent="0.3">
      <c r="A149" s="495"/>
      <c r="B149" s="377" t="s">
        <v>330</v>
      </c>
      <c r="C149" s="378"/>
      <c r="D149" s="378"/>
      <c r="E149" s="154" t="s">
        <v>349</v>
      </c>
      <c r="F149" s="103"/>
      <c r="G149" s="103"/>
      <c r="H149" s="103"/>
      <c r="I149" s="379"/>
      <c r="J149" s="216"/>
      <c r="K149" s="216"/>
      <c r="L149" s="380"/>
      <c r="M149" s="375"/>
      <c r="N149" s="376"/>
      <c r="O149" s="376"/>
      <c r="P149" s="376"/>
    </row>
    <row r="150" spans="1:16" ht="15" customHeight="1" x14ac:dyDescent="0.3">
      <c r="A150" s="495"/>
      <c r="B150" s="377" t="s">
        <v>332</v>
      </c>
      <c r="C150" s="378"/>
      <c r="D150" s="378"/>
      <c r="E150" s="154" t="s">
        <v>333</v>
      </c>
      <c r="F150" s="76"/>
      <c r="G150" s="76"/>
      <c r="H150" s="77"/>
      <c r="I150" s="77"/>
      <c r="J150" s="74"/>
      <c r="K150" s="74"/>
      <c r="L150" s="113"/>
      <c r="M150" s="285"/>
      <c r="N150" s="303"/>
      <c r="O150" s="303"/>
      <c r="P150" s="303"/>
    </row>
    <row r="151" spans="1:16" ht="15" customHeight="1" x14ac:dyDescent="0.3">
      <c r="A151" s="495"/>
      <c r="B151" s="274"/>
      <c r="C151" s="274"/>
      <c r="D151" s="274"/>
      <c r="E151" s="154" t="s">
        <v>350</v>
      </c>
      <c r="F151" s="45"/>
      <c r="G151" s="45"/>
      <c r="H151" s="58"/>
      <c r="I151" s="58"/>
      <c r="J151" s="1"/>
      <c r="K151" s="1"/>
      <c r="L151" s="37"/>
      <c r="M151" s="282"/>
      <c r="N151" s="302"/>
      <c r="O151" s="316"/>
      <c r="P151" s="316"/>
    </row>
    <row r="152" spans="1:16" ht="15" customHeight="1" x14ac:dyDescent="0.3">
      <c r="A152" s="495"/>
      <c r="B152" s="162"/>
      <c r="C152" s="162"/>
      <c r="D152" s="159"/>
      <c r="E152" s="159" t="s">
        <v>351</v>
      </c>
      <c r="F152" s="110"/>
      <c r="G152" s="110"/>
      <c r="H152" s="111"/>
      <c r="I152" s="177"/>
      <c r="J152" s="112"/>
      <c r="K152" s="112"/>
      <c r="L152" s="171"/>
      <c r="M152" s="281"/>
      <c r="N152" s="301"/>
      <c r="O152" s="301"/>
      <c r="P152" s="301"/>
    </row>
    <row r="153" spans="1:16" x14ac:dyDescent="0.3">
      <c r="A153" s="495"/>
      <c r="B153" s="52">
        <v>0</v>
      </c>
      <c r="C153" s="53" t="s">
        <v>315</v>
      </c>
      <c r="E153" s="90" t="s">
        <v>352</v>
      </c>
      <c r="F153" s="107"/>
      <c r="G153" s="87" t="s">
        <v>353</v>
      </c>
      <c r="H153" s="72">
        <v>42</v>
      </c>
      <c r="I153" s="77" t="s">
        <v>86</v>
      </c>
      <c r="J153" s="51"/>
      <c r="K153" s="51"/>
      <c r="L153"/>
      <c r="M153" s="282">
        <f>H153*B153</f>
        <v>0</v>
      </c>
      <c r="N153" s="29"/>
      <c r="O153" s="29"/>
      <c r="P153" s="29"/>
    </row>
    <row r="154" spans="1:16" x14ac:dyDescent="0.3">
      <c r="A154" s="495"/>
      <c r="D154" s="38"/>
      <c r="E154" s="60" t="s">
        <v>354</v>
      </c>
      <c r="F154" s="38"/>
      <c r="G154" s="38"/>
      <c r="J154" s="51"/>
      <c r="K154" s="51"/>
      <c r="L154"/>
      <c r="M154" s="282"/>
      <c r="N154" s="29"/>
      <c r="O154" s="29"/>
      <c r="P154" s="29"/>
    </row>
    <row r="155" spans="1:16" x14ac:dyDescent="0.3">
      <c r="A155" s="495"/>
      <c r="E155" s="60" t="s">
        <v>355</v>
      </c>
      <c r="F155" s="108"/>
      <c r="G155" s="76"/>
      <c r="H155" s="58"/>
      <c r="J155" s="51"/>
      <c r="K155" s="51"/>
      <c r="L155"/>
      <c r="M155" s="282"/>
      <c r="N155" s="29"/>
      <c r="O155" s="29"/>
      <c r="P155" s="29"/>
    </row>
    <row r="156" spans="1:16" ht="15" thickBot="1" x14ac:dyDescent="0.35">
      <c r="A156" s="495"/>
      <c r="C156" s="1"/>
      <c r="E156" s="64"/>
      <c r="F156" s="108"/>
      <c r="G156" s="76"/>
      <c r="H156" s="58"/>
      <c r="J156" s="109"/>
      <c r="K156" s="109"/>
      <c r="L156"/>
      <c r="M156" s="282"/>
      <c r="N156" s="29"/>
      <c r="O156" s="29"/>
      <c r="P156" s="29"/>
    </row>
    <row r="157" spans="1:16" ht="43.8" x14ac:dyDescent="0.35">
      <c r="A157" s="495"/>
      <c r="B157" s="493" t="s">
        <v>356</v>
      </c>
      <c r="C157" s="494"/>
      <c r="D157" s="494"/>
      <c r="E157" s="143" t="s">
        <v>357</v>
      </c>
      <c r="F157" s="143" t="s">
        <v>358</v>
      </c>
      <c r="G157" s="143" t="s">
        <v>359</v>
      </c>
      <c r="H157" s="200" t="s">
        <v>360</v>
      </c>
      <c r="I157" s="144" t="s">
        <v>361</v>
      </c>
      <c r="J157" s="145" t="s">
        <v>362</v>
      </c>
      <c r="K157" s="336" t="s">
        <v>363</v>
      </c>
      <c r="L157" s="364"/>
      <c r="M157" s="302"/>
      <c r="N157" s="29"/>
      <c r="O157" s="304"/>
      <c r="P157" s="304"/>
    </row>
    <row r="158" spans="1:16" x14ac:dyDescent="0.3">
      <c r="A158" s="495"/>
      <c r="B158" s="489" t="s">
        <v>272</v>
      </c>
      <c r="C158" s="490"/>
      <c r="D158" s="490"/>
      <c r="E158" s="146" t="s">
        <v>364</v>
      </c>
      <c r="F158" s="146" t="s">
        <v>364</v>
      </c>
      <c r="G158" s="146" t="s">
        <v>365</v>
      </c>
      <c r="H158" s="197" t="s">
        <v>365</v>
      </c>
      <c r="I158" s="147" t="s">
        <v>364</v>
      </c>
      <c r="J158" s="148" t="s">
        <v>366</v>
      </c>
      <c r="K158" s="337" t="s">
        <v>366</v>
      </c>
      <c r="L158" s="365"/>
      <c r="M158" s="302"/>
      <c r="N158" s="29"/>
      <c r="O158" s="304"/>
      <c r="P158" s="304"/>
    </row>
    <row r="159" spans="1:16" x14ac:dyDescent="0.3">
      <c r="A159" s="495"/>
      <c r="B159" s="489" t="s">
        <v>367</v>
      </c>
      <c r="C159" s="490"/>
      <c r="D159" s="490"/>
      <c r="E159" s="146"/>
      <c r="F159" s="146"/>
      <c r="G159" s="146" t="s">
        <v>368</v>
      </c>
      <c r="H159" s="197" t="s">
        <v>368</v>
      </c>
      <c r="I159" s="432"/>
      <c r="J159" s="431" t="s">
        <v>368</v>
      </c>
      <c r="K159" s="430" t="s">
        <v>368</v>
      </c>
      <c r="L159" s="365"/>
      <c r="M159" s="302"/>
      <c r="N159" s="29"/>
      <c r="O159" s="302"/>
      <c r="P159" s="302"/>
    </row>
    <row r="160" spans="1:16" x14ac:dyDescent="0.3">
      <c r="A160" s="495"/>
      <c r="B160" s="489" t="s">
        <v>369</v>
      </c>
      <c r="C160" s="490"/>
      <c r="D160" s="490"/>
      <c r="E160" s="146"/>
      <c r="F160" s="146" t="s">
        <v>368</v>
      </c>
      <c r="G160" s="146" t="s">
        <v>368</v>
      </c>
      <c r="H160" s="197" t="s">
        <v>368</v>
      </c>
      <c r="I160" s="432" t="s">
        <v>368</v>
      </c>
      <c r="J160" s="431" t="s">
        <v>368</v>
      </c>
      <c r="K160" s="430" t="s">
        <v>368</v>
      </c>
      <c r="L160" s="365"/>
      <c r="M160" s="302"/>
      <c r="N160" s="29"/>
      <c r="O160" s="302"/>
      <c r="P160" s="302"/>
    </row>
    <row r="161" spans="1:16" x14ac:dyDescent="0.3">
      <c r="A161" s="495"/>
      <c r="B161" s="489" t="s">
        <v>370</v>
      </c>
      <c r="C161" s="490"/>
      <c r="D161" s="490"/>
      <c r="E161" s="146"/>
      <c r="F161" s="146" t="s">
        <v>368</v>
      </c>
      <c r="G161" s="146" t="s">
        <v>368</v>
      </c>
      <c r="H161" s="197" t="s">
        <v>368</v>
      </c>
      <c r="I161" s="147" t="s">
        <v>368</v>
      </c>
      <c r="J161" s="148" t="s">
        <v>368</v>
      </c>
      <c r="K161" s="337" t="s">
        <v>368</v>
      </c>
      <c r="L161" s="365"/>
      <c r="M161" s="302"/>
      <c r="N161" s="29"/>
      <c r="O161" s="304"/>
      <c r="P161" s="304"/>
    </row>
    <row r="162" spans="1:16" x14ac:dyDescent="0.3">
      <c r="A162" s="495"/>
      <c r="B162" s="489" t="s">
        <v>371</v>
      </c>
      <c r="C162" s="490"/>
      <c r="D162" s="490"/>
      <c r="E162" s="146"/>
      <c r="F162" s="146" t="s">
        <v>372</v>
      </c>
      <c r="G162" s="146" t="s">
        <v>372</v>
      </c>
      <c r="H162" s="197" t="s">
        <v>372</v>
      </c>
      <c r="I162" s="220" t="s">
        <v>372</v>
      </c>
      <c r="J162" s="221" t="s">
        <v>373</v>
      </c>
      <c r="K162" s="339" t="s">
        <v>373</v>
      </c>
      <c r="L162" s="365"/>
      <c r="M162" s="304"/>
      <c r="N162" s="29"/>
      <c r="O162" s="304"/>
      <c r="P162" s="304"/>
    </row>
    <row r="163" spans="1:16" x14ac:dyDescent="0.3">
      <c r="A163" s="495"/>
      <c r="B163" s="489" t="s">
        <v>374</v>
      </c>
      <c r="C163" s="490"/>
      <c r="D163" s="490"/>
      <c r="E163" s="146"/>
      <c r="F163" s="146" t="s">
        <v>372</v>
      </c>
      <c r="G163" s="146" t="s">
        <v>372</v>
      </c>
      <c r="H163" s="197" t="s">
        <v>372</v>
      </c>
      <c r="I163" s="220" t="s">
        <v>372</v>
      </c>
      <c r="J163" s="221" t="s">
        <v>373</v>
      </c>
      <c r="K163" s="339" t="s">
        <v>373</v>
      </c>
      <c r="L163" s="365"/>
      <c r="M163" s="304"/>
      <c r="N163" s="29"/>
      <c r="O163" s="304"/>
      <c r="P163" s="304"/>
    </row>
    <row r="164" spans="1:16" x14ac:dyDescent="0.3">
      <c r="A164" s="495"/>
      <c r="B164" s="489" t="s">
        <v>375</v>
      </c>
      <c r="C164" s="490"/>
      <c r="D164" s="490"/>
      <c r="E164" s="197"/>
      <c r="F164" s="197"/>
      <c r="G164" s="197"/>
      <c r="H164" s="197" t="s">
        <v>372</v>
      </c>
      <c r="I164" s="427"/>
      <c r="J164" s="428"/>
      <c r="K164" s="339" t="s">
        <v>373</v>
      </c>
      <c r="L164" s="365"/>
      <c r="M164" s="304"/>
      <c r="N164" s="29"/>
      <c r="O164" s="304"/>
      <c r="P164" s="304"/>
    </row>
    <row r="165" spans="1:16" x14ac:dyDescent="0.3">
      <c r="A165" s="495"/>
      <c r="B165" s="489" t="s">
        <v>376</v>
      </c>
      <c r="C165" s="490"/>
      <c r="D165" s="490"/>
      <c r="E165" s="197" t="s">
        <v>377</v>
      </c>
      <c r="F165" s="197" t="s">
        <v>377</v>
      </c>
      <c r="G165" s="197" t="s">
        <v>377</v>
      </c>
      <c r="H165" s="197" t="s">
        <v>372</v>
      </c>
      <c r="I165" s="427" t="s">
        <v>377</v>
      </c>
      <c r="J165" s="428" t="s">
        <v>377</v>
      </c>
      <c r="K165" s="429" t="s">
        <v>377</v>
      </c>
      <c r="L165" s="365"/>
      <c r="M165" s="304"/>
      <c r="N165" s="29"/>
      <c r="O165" s="304"/>
      <c r="P165" s="304"/>
    </row>
    <row r="166" spans="1:16" x14ac:dyDescent="0.3">
      <c r="A166" s="495"/>
      <c r="B166" s="489" t="s">
        <v>378</v>
      </c>
      <c r="C166" s="490"/>
      <c r="D166" s="490"/>
      <c r="E166" s="197"/>
      <c r="F166" s="197" t="s">
        <v>364</v>
      </c>
      <c r="G166" s="197" t="s">
        <v>364</v>
      </c>
      <c r="H166" s="197" t="s">
        <v>379</v>
      </c>
      <c r="I166" s="427" t="s">
        <v>364</v>
      </c>
      <c r="J166" s="428" t="s">
        <v>379</v>
      </c>
      <c r="K166" s="429" t="s">
        <v>379</v>
      </c>
      <c r="L166" s="365"/>
      <c r="M166" s="304"/>
      <c r="N166" s="29"/>
      <c r="O166" s="304"/>
      <c r="P166" s="304"/>
    </row>
    <row r="167" spans="1:16" x14ac:dyDescent="0.3">
      <c r="A167" s="495"/>
      <c r="B167" s="498" t="s">
        <v>380</v>
      </c>
      <c r="C167" s="499"/>
      <c r="D167" s="500"/>
      <c r="E167" s="197"/>
      <c r="F167" s="197"/>
      <c r="G167" s="197"/>
      <c r="H167" s="197" t="s">
        <v>381</v>
      </c>
      <c r="I167" s="427"/>
      <c r="J167" s="428" t="s">
        <v>381</v>
      </c>
      <c r="K167" s="429" t="s">
        <v>382</v>
      </c>
      <c r="L167" s="365"/>
      <c r="M167" s="304"/>
      <c r="N167" s="29"/>
      <c r="O167" s="304"/>
      <c r="P167" s="304"/>
    </row>
    <row r="168" spans="1:16" x14ac:dyDescent="0.3">
      <c r="A168" s="495"/>
      <c r="B168" s="489" t="s">
        <v>383</v>
      </c>
      <c r="C168" s="490"/>
      <c r="D168" s="490"/>
      <c r="E168" s="146"/>
      <c r="F168" s="146"/>
      <c r="G168" s="146"/>
      <c r="H168" s="146" t="s">
        <v>372</v>
      </c>
      <c r="I168" s="220"/>
      <c r="J168" s="221"/>
      <c r="K168" s="339"/>
      <c r="L168" s="365"/>
      <c r="M168" s="304"/>
      <c r="N168" s="29"/>
      <c r="O168" s="304"/>
      <c r="P168" s="304"/>
    </row>
    <row r="169" spans="1:16" x14ac:dyDescent="0.3">
      <c r="A169" s="495"/>
      <c r="B169" s="489" t="s">
        <v>384</v>
      </c>
      <c r="C169" s="490"/>
      <c r="D169" s="490"/>
      <c r="E169" s="146" t="s">
        <v>368</v>
      </c>
      <c r="F169" s="146" t="s">
        <v>368</v>
      </c>
      <c r="G169" s="146" t="s">
        <v>368</v>
      </c>
      <c r="H169" s="146" t="s">
        <v>368</v>
      </c>
      <c r="I169" s="220" t="s">
        <v>368</v>
      </c>
      <c r="J169" s="221" t="s">
        <v>368</v>
      </c>
      <c r="K169" s="339" t="s">
        <v>368</v>
      </c>
      <c r="L169" s="365"/>
      <c r="M169" s="304"/>
      <c r="N169" s="29"/>
      <c r="O169" s="304"/>
      <c r="P169" s="304"/>
    </row>
    <row r="170" spans="1:16" x14ac:dyDescent="0.3">
      <c r="A170" s="495"/>
      <c r="B170" s="489" t="s">
        <v>385</v>
      </c>
      <c r="C170" s="490"/>
      <c r="D170" s="490"/>
      <c r="E170" s="197"/>
      <c r="F170" s="197"/>
      <c r="G170" s="197"/>
      <c r="H170" s="197" t="s">
        <v>368</v>
      </c>
      <c r="I170" s="198"/>
      <c r="J170" s="199"/>
      <c r="K170" s="338"/>
      <c r="L170" s="365"/>
      <c r="M170" s="302"/>
      <c r="N170" s="29"/>
      <c r="O170" s="304"/>
      <c r="P170" s="304"/>
    </row>
    <row r="171" spans="1:16" x14ac:dyDescent="0.3">
      <c r="A171" s="495"/>
      <c r="B171" s="489" t="s">
        <v>386</v>
      </c>
      <c r="C171" s="490"/>
      <c r="D171" s="490"/>
      <c r="E171" s="146"/>
      <c r="F171" s="146"/>
      <c r="G171" s="146"/>
      <c r="H171" s="197" t="s">
        <v>368</v>
      </c>
      <c r="I171" s="220"/>
      <c r="J171" s="221" t="s">
        <v>387</v>
      </c>
      <c r="K171" s="339" t="s">
        <v>388</v>
      </c>
      <c r="L171" s="365"/>
      <c r="M171" s="304"/>
      <c r="N171" s="29"/>
      <c r="O171" s="304"/>
      <c r="P171" s="304"/>
    </row>
    <row r="172" spans="1:16" ht="15" x14ac:dyDescent="0.3">
      <c r="A172" s="495"/>
      <c r="B172" s="60" t="s">
        <v>389</v>
      </c>
      <c r="C172" s="73"/>
      <c r="D172" s="74"/>
      <c r="F172" s="38"/>
      <c r="G172" s="38"/>
      <c r="H172" s="38"/>
      <c r="I172" s="51"/>
      <c r="J172" s="51"/>
      <c r="K172" s="51"/>
      <c r="L172" s="105"/>
      <c r="M172" s="282"/>
      <c r="N172" s="302"/>
      <c r="O172" s="302"/>
      <c r="P172" s="302"/>
    </row>
    <row r="173" spans="1:16" x14ac:dyDescent="0.3">
      <c r="A173" s="495"/>
      <c r="B173" s="60" t="s">
        <v>390</v>
      </c>
      <c r="C173" s="73"/>
      <c r="D173" s="74"/>
      <c r="F173" s="38"/>
      <c r="G173" s="38"/>
      <c r="H173" s="38"/>
      <c r="I173" s="51"/>
      <c r="J173" s="51"/>
      <c r="K173" s="51"/>
      <c r="L173" s="105"/>
      <c r="M173" s="282"/>
      <c r="N173" s="302"/>
      <c r="O173" s="302"/>
      <c r="P173" s="302"/>
    </row>
    <row r="174" spans="1:16" x14ac:dyDescent="0.3">
      <c r="A174" s="495"/>
      <c r="B174" s="60" t="s">
        <v>391</v>
      </c>
      <c r="C174" s="73"/>
      <c r="D174" s="74"/>
      <c r="F174" s="38"/>
      <c r="G174" s="38"/>
      <c r="H174" s="38"/>
      <c r="I174" s="51"/>
      <c r="J174" s="51"/>
      <c r="K174" s="51"/>
      <c r="L174" s="105"/>
      <c r="M174" s="282"/>
      <c r="N174" s="302"/>
      <c r="O174" s="302"/>
      <c r="P174" s="302"/>
    </row>
    <row r="175" spans="1:16" x14ac:dyDescent="0.3">
      <c r="A175" s="495"/>
      <c r="B175" s="73"/>
      <c r="C175" s="73"/>
      <c r="D175" s="74"/>
      <c r="E175" s="60"/>
      <c r="F175" s="38"/>
      <c r="G175" s="38"/>
      <c r="H175" s="38"/>
      <c r="I175" s="51"/>
      <c r="J175" s="51"/>
      <c r="K175" s="51"/>
      <c r="L175" s="105"/>
      <c r="M175" s="282"/>
      <c r="N175" s="302"/>
      <c r="O175" s="302"/>
      <c r="P175" s="302"/>
    </row>
    <row r="176" spans="1:16" ht="15.6" x14ac:dyDescent="0.3">
      <c r="A176" s="495"/>
      <c r="B176" s="255"/>
      <c r="C176" s="204"/>
      <c r="D176" s="157" t="s">
        <v>392</v>
      </c>
      <c r="E176" s="47"/>
      <c r="F176" s="47"/>
      <c r="G176" s="47"/>
      <c r="H176" s="48"/>
      <c r="I176" s="49"/>
      <c r="J176" s="49"/>
      <c r="K176" s="49"/>
      <c r="L176" s="170"/>
      <c r="M176" s="280">
        <f>SUM(M177:M200)</f>
        <v>0</v>
      </c>
      <c r="N176" s="300">
        <f>SUM(N177:N200)</f>
        <v>0</v>
      </c>
      <c r="O176" s="300">
        <f>SUM(O177:O200)</f>
        <v>0</v>
      </c>
      <c r="P176" s="300">
        <f>SUM(P177:P200)</f>
        <v>0</v>
      </c>
    </row>
    <row r="177" spans="1:16" ht="15" customHeight="1" x14ac:dyDescent="0.3">
      <c r="A177" s="495"/>
      <c r="B177" s="162"/>
      <c r="C177" s="162"/>
      <c r="D177" s="159" t="s">
        <v>393</v>
      </c>
      <c r="E177" s="159"/>
      <c r="F177" s="110"/>
      <c r="G177" s="110"/>
      <c r="H177" s="111"/>
      <c r="I177" s="177"/>
      <c r="J177" s="112"/>
      <c r="K177" s="112"/>
      <c r="L177" s="171"/>
      <c r="M177" s="281"/>
      <c r="N177" s="301"/>
      <c r="O177" s="301"/>
      <c r="P177" s="301"/>
    </row>
    <row r="178" spans="1:16" s="89" customFormat="1" ht="15" customHeight="1" x14ac:dyDescent="0.3">
      <c r="A178" s="495"/>
      <c r="B178" s="70">
        <v>0</v>
      </c>
      <c r="C178" s="92" t="s">
        <v>315</v>
      </c>
      <c r="D178" s="66"/>
      <c r="E178" s="54" t="s">
        <v>394</v>
      </c>
      <c r="F178" s="151"/>
      <c r="G178" s="151" t="s">
        <v>395</v>
      </c>
      <c r="H178" s="96">
        <v>3.95</v>
      </c>
      <c r="I178" s="77" t="s">
        <v>83</v>
      </c>
      <c r="M178" s="357"/>
      <c r="N178" s="358"/>
      <c r="O178" s="350"/>
      <c r="P178" s="303">
        <f t="shared" ref="P178:P179" si="14">B178*H178</f>
        <v>0</v>
      </c>
    </row>
    <row r="179" spans="1:16" s="89" customFormat="1" x14ac:dyDescent="0.3">
      <c r="A179" s="495"/>
      <c r="B179" s="70">
        <v>0</v>
      </c>
      <c r="C179" s="92" t="s">
        <v>315</v>
      </c>
      <c r="D179" s="66"/>
      <c r="E179" s="54" t="s">
        <v>396</v>
      </c>
      <c r="F179" s="151"/>
      <c r="G179" s="151" t="s">
        <v>397</v>
      </c>
      <c r="H179" s="96">
        <v>2.65</v>
      </c>
      <c r="I179" s="77" t="s">
        <v>83</v>
      </c>
      <c r="M179" s="357"/>
      <c r="N179" s="358"/>
      <c r="O179" s="350"/>
      <c r="P179" s="303">
        <f t="shared" si="14"/>
        <v>0</v>
      </c>
    </row>
    <row r="180" spans="1:16" ht="15" customHeight="1" x14ac:dyDescent="0.3">
      <c r="A180" s="495"/>
      <c r="C180" s="1"/>
      <c r="D180" s="1"/>
      <c r="E180" s="154" t="s">
        <v>398</v>
      </c>
      <c r="F180" s="108"/>
      <c r="G180" s="76"/>
      <c r="H180" s="77"/>
      <c r="I180" s="79"/>
      <c r="L180"/>
      <c r="M180" s="278"/>
      <c r="N180" s="29"/>
      <c r="O180" s="302"/>
      <c r="P180" s="302"/>
    </row>
    <row r="181" spans="1:16" ht="15" customHeight="1" x14ac:dyDescent="0.3">
      <c r="A181" s="495"/>
      <c r="C181" s="1"/>
      <c r="D181" s="1"/>
      <c r="E181" s="60"/>
      <c r="F181" s="108"/>
      <c r="G181" s="76"/>
      <c r="H181" s="77"/>
      <c r="I181" s="79"/>
      <c r="L181"/>
      <c r="M181" s="278"/>
      <c r="N181" s="29"/>
      <c r="O181" s="302"/>
      <c r="P181" s="302"/>
    </row>
    <row r="182" spans="1:16" ht="15" customHeight="1" x14ac:dyDescent="0.3">
      <c r="A182" s="495"/>
      <c r="B182" s="162"/>
      <c r="C182" s="373"/>
      <c r="D182" s="183" t="s">
        <v>399</v>
      </c>
      <c r="E182" s="374"/>
      <c r="F182" s="329"/>
      <c r="G182" s="329"/>
      <c r="H182" s="177"/>
      <c r="I182" s="177"/>
      <c r="J182" s="112"/>
      <c r="K182" s="112"/>
      <c r="L182" s="171"/>
      <c r="M182" s="281"/>
      <c r="N182" s="301"/>
      <c r="O182" s="301"/>
      <c r="P182" s="301"/>
    </row>
    <row r="183" spans="1:16" s="89" customFormat="1" ht="15" customHeight="1" x14ac:dyDescent="0.3">
      <c r="A183" s="495"/>
      <c r="B183" s="70">
        <v>0</v>
      </c>
      <c r="C183" s="92" t="s">
        <v>315</v>
      </c>
      <c r="D183" s="74"/>
      <c r="E183" s="54" t="s">
        <v>400</v>
      </c>
      <c r="F183" s="151"/>
      <c r="G183" s="151" t="s">
        <v>401</v>
      </c>
      <c r="H183" s="96">
        <v>3.7</v>
      </c>
      <c r="I183" s="77" t="s">
        <v>402</v>
      </c>
      <c r="M183" s="357"/>
      <c r="N183" s="358"/>
      <c r="O183" s="350"/>
      <c r="P183" s="303">
        <f t="shared" ref="P183:P184" si="15">B183*H183</f>
        <v>0</v>
      </c>
    </row>
    <row r="184" spans="1:16" s="89" customFormat="1" x14ac:dyDescent="0.3">
      <c r="A184" s="495"/>
      <c r="B184" s="70">
        <v>0</v>
      </c>
      <c r="C184" s="92" t="s">
        <v>315</v>
      </c>
      <c r="D184" s="74"/>
      <c r="E184" s="54" t="s">
        <v>403</v>
      </c>
      <c r="F184" s="151"/>
      <c r="G184" s="151" t="s">
        <v>404</v>
      </c>
      <c r="H184" s="96">
        <v>2.4</v>
      </c>
      <c r="I184" s="77" t="s">
        <v>402</v>
      </c>
      <c r="M184" s="357"/>
      <c r="N184" s="358"/>
      <c r="O184" s="350"/>
      <c r="P184" s="303">
        <f t="shared" si="15"/>
        <v>0</v>
      </c>
    </row>
    <row r="185" spans="1:16" ht="15" customHeight="1" x14ac:dyDescent="0.3">
      <c r="A185" s="495"/>
      <c r="C185" s="1"/>
      <c r="D185" s="1"/>
      <c r="E185" s="154" t="s">
        <v>405</v>
      </c>
      <c r="F185" s="108"/>
      <c r="G185" s="76"/>
      <c r="H185" s="77"/>
      <c r="I185" s="79"/>
      <c r="L185"/>
      <c r="M185" s="278"/>
      <c r="N185" s="29"/>
      <c r="O185" s="302"/>
      <c r="P185" s="302"/>
    </row>
    <row r="186" spans="1:16" ht="15" customHeight="1" x14ac:dyDescent="0.3">
      <c r="A186" s="495"/>
      <c r="C186" s="36"/>
      <c r="D186" s="1"/>
      <c r="E186" s="1"/>
      <c r="F186" s="122"/>
      <c r="H186" s="1"/>
      <c r="I186" s="74"/>
      <c r="J186" s="1"/>
      <c r="K186" s="1"/>
      <c r="L186" s="37"/>
      <c r="M186" s="282"/>
      <c r="N186" s="302"/>
      <c r="O186" s="302"/>
      <c r="P186" s="302"/>
    </row>
    <row r="187" spans="1:16" s="89" customFormat="1" ht="15.6" x14ac:dyDescent="0.3">
      <c r="A187" s="495"/>
      <c r="B187" s="188"/>
      <c r="C187" s="162"/>
      <c r="D187" s="159" t="s">
        <v>406</v>
      </c>
      <c r="E187" s="175"/>
      <c r="F187" s="189"/>
      <c r="G187" s="189"/>
      <c r="H187" s="176"/>
      <c r="I187" s="142"/>
      <c r="J187" s="112"/>
      <c r="K187" s="112"/>
      <c r="L187" s="171"/>
      <c r="M187" s="281"/>
      <c r="N187" s="301"/>
      <c r="O187" s="301"/>
      <c r="P187" s="301"/>
    </row>
    <row r="188" spans="1:16" s="89" customFormat="1" x14ac:dyDescent="0.3">
      <c r="A188" s="495"/>
      <c r="B188" s="192" t="s">
        <v>191</v>
      </c>
      <c r="C188" s="190"/>
      <c r="D188" s="66"/>
      <c r="E188" s="81"/>
      <c r="F188" s="81"/>
      <c r="G188" s="101"/>
      <c r="H188" s="194" t="s">
        <v>99</v>
      </c>
      <c r="I188" s="194" t="s">
        <v>101</v>
      </c>
      <c r="J188" s="69"/>
      <c r="K188" s="69"/>
      <c r="L188" s="56"/>
      <c r="M188" s="282"/>
      <c r="N188" s="302"/>
      <c r="O188" s="29"/>
      <c r="P188" s="29"/>
    </row>
    <row r="189" spans="1:16" s="89" customFormat="1" x14ac:dyDescent="0.3">
      <c r="A189" s="495"/>
      <c r="B189" s="70">
        <v>0</v>
      </c>
      <c r="C189" s="70" t="s">
        <v>99</v>
      </c>
      <c r="D189" s="1"/>
      <c r="E189" s="222" t="s">
        <v>192</v>
      </c>
      <c r="F189" s="126"/>
      <c r="G189" s="59" t="str">
        <f>IF($C189=$H$188,"COM-4946","COM-4947")</f>
        <v>COM-4946</v>
      </c>
      <c r="H189" s="401">
        <v>3.95</v>
      </c>
      <c r="I189" s="366">
        <v>4.2</v>
      </c>
      <c r="J189" s="58" t="s">
        <v>83</v>
      </c>
      <c r="K189" s="58"/>
      <c r="L189" s="195"/>
      <c r="M189" s="282"/>
      <c r="N189" s="302"/>
      <c r="O189" s="302"/>
      <c r="P189" s="302">
        <f>IF(C189=H188,$B189*H189,$B189*I189)</f>
        <v>0</v>
      </c>
    </row>
    <row r="190" spans="1:16" s="191" customFormat="1" x14ac:dyDescent="0.3">
      <c r="A190" s="495"/>
      <c r="B190" s="36">
        <f>IF(SUM(B189:B189)&gt;0,1,0)</f>
        <v>0</v>
      </c>
      <c r="C190" s="53" t="s">
        <v>176</v>
      </c>
      <c r="D190" s="193"/>
      <c r="E190" s="222" t="s">
        <v>193</v>
      </c>
      <c r="F190" s="126"/>
      <c r="G190" s="55" t="s">
        <v>194</v>
      </c>
      <c r="H190" s="401">
        <v>87.5</v>
      </c>
      <c r="I190" s="401">
        <v>87.5</v>
      </c>
      <c r="J190" s="58" t="s">
        <v>86</v>
      </c>
      <c r="K190" s="58"/>
      <c r="L190" s="196"/>
      <c r="M190" s="282">
        <f>B190*H190</f>
        <v>0</v>
      </c>
      <c r="N190" s="310"/>
      <c r="O190" s="321"/>
      <c r="P190" s="321"/>
    </row>
    <row r="191" spans="1:16" x14ac:dyDescent="0.3">
      <c r="A191" s="495"/>
      <c r="C191"/>
      <c r="E191" s="75" t="s">
        <v>407</v>
      </c>
      <c r="F191" s="202"/>
      <c r="G191" s="202"/>
      <c r="H191" s="202"/>
      <c r="I191" s="202"/>
      <c r="J191" s="62"/>
      <c r="K191" s="62"/>
      <c r="L191" s="63"/>
      <c r="M191" s="284"/>
      <c r="N191" s="304"/>
      <c r="O191" s="29"/>
      <c r="P191" s="29"/>
    </row>
    <row r="192" spans="1:16" x14ac:dyDescent="0.3">
      <c r="A192" s="495"/>
      <c r="C192"/>
      <c r="E192" s="75" t="s">
        <v>196</v>
      </c>
      <c r="F192" s="202"/>
      <c r="G192" s="202"/>
      <c r="H192" s="202"/>
      <c r="I192" s="202"/>
      <c r="J192" s="62"/>
      <c r="K192" s="62"/>
      <c r="L192" s="63"/>
      <c r="M192" s="284"/>
      <c r="N192" s="304"/>
      <c r="O192" s="29"/>
      <c r="P192" s="29"/>
    </row>
    <row r="193" spans="1:33" x14ac:dyDescent="0.3">
      <c r="A193" s="495"/>
      <c r="C193"/>
      <c r="E193" s="75" t="s">
        <v>197</v>
      </c>
      <c r="F193" s="202"/>
      <c r="G193" s="202"/>
      <c r="H193" s="202"/>
      <c r="I193" s="202"/>
      <c r="J193" s="62"/>
      <c r="K193" s="62"/>
      <c r="L193" s="63"/>
      <c r="M193" s="284"/>
      <c r="N193" s="304"/>
      <c r="O193" s="29"/>
      <c r="P193" s="29"/>
    </row>
    <row r="194" spans="1:33" ht="15" customHeight="1" x14ac:dyDescent="0.3">
      <c r="A194" s="495"/>
      <c r="C194" s="36"/>
      <c r="D194" s="1"/>
      <c r="E194" s="1"/>
      <c r="F194" s="122"/>
      <c r="H194" s="1"/>
      <c r="I194" s="74"/>
      <c r="J194" s="1"/>
      <c r="K194" s="1"/>
      <c r="L194" s="37"/>
      <c r="M194" s="282"/>
      <c r="N194" s="302"/>
      <c r="O194" s="302"/>
      <c r="P194" s="302"/>
    </row>
    <row r="195" spans="1:33" ht="15.6" x14ac:dyDescent="0.3">
      <c r="A195" s="495"/>
      <c r="B195" s="162"/>
      <c r="C195" s="162"/>
      <c r="D195" s="183" t="s">
        <v>408</v>
      </c>
      <c r="E195" s="183"/>
      <c r="F195" s="110"/>
      <c r="G195" s="110"/>
      <c r="H195" s="176"/>
      <c r="I195" s="177"/>
      <c r="J195" s="182"/>
      <c r="K195" s="182"/>
      <c r="L195" s="171"/>
      <c r="M195" s="281"/>
      <c r="N195" s="301"/>
      <c r="O195" s="301"/>
      <c r="P195" s="301"/>
    </row>
    <row r="196" spans="1:33" s="80" customFormat="1" ht="15.6" x14ac:dyDescent="0.3">
      <c r="A196" s="495"/>
      <c r="B196" s="70">
        <v>0</v>
      </c>
      <c r="C196" s="92" t="s">
        <v>409</v>
      </c>
      <c r="D196" s="174"/>
      <c r="E196" s="90" t="s">
        <v>410</v>
      </c>
      <c r="F196" s="138"/>
      <c r="G196" s="86" t="s">
        <v>411</v>
      </c>
      <c r="H196" s="402">
        <v>10.5</v>
      </c>
      <c r="I196" s="77" t="s">
        <v>83</v>
      </c>
      <c r="J196" s="179"/>
      <c r="K196" s="179"/>
      <c r="L196" s="77"/>
      <c r="M196" s="283"/>
      <c r="N196" s="303"/>
      <c r="O196" s="302"/>
      <c r="P196" s="302">
        <f>B196*H196</f>
        <v>0</v>
      </c>
    </row>
    <row r="197" spans="1:33" s="80" customFormat="1" ht="15.6" x14ac:dyDescent="0.3">
      <c r="A197" s="495"/>
      <c r="B197" s="99">
        <f>IF(B196&gt;0,B196,0)</f>
        <v>0</v>
      </c>
      <c r="C197" s="92" t="s">
        <v>409</v>
      </c>
      <c r="D197" s="174"/>
      <c r="E197" s="90" t="s">
        <v>412</v>
      </c>
      <c r="F197" s="138"/>
      <c r="G197" s="86" t="s">
        <v>413</v>
      </c>
      <c r="H197" s="402">
        <v>78.75</v>
      </c>
      <c r="I197" s="77" t="s">
        <v>86</v>
      </c>
      <c r="J197" s="178"/>
      <c r="K197" s="178"/>
      <c r="L197" s="77"/>
      <c r="M197" s="283">
        <f>B197*H197</f>
        <v>0</v>
      </c>
      <c r="N197" s="303"/>
      <c r="O197" s="303"/>
      <c r="P197" s="303"/>
    </row>
    <row r="198" spans="1:33" s="80" customFormat="1" ht="15.6" x14ac:dyDescent="0.3">
      <c r="A198" s="495"/>
      <c r="B198" s="38"/>
      <c r="C198" s="36"/>
      <c r="D198" s="174"/>
      <c r="E198" s="154"/>
      <c r="F198" s="1"/>
      <c r="G198" s="1"/>
      <c r="H198" s="1"/>
      <c r="I198" s="77"/>
      <c r="J198" s="178"/>
      <c r="K198" s="178"/>
      <c r="L198" s="77"/>
      <c r="M198" s="283"/>
      <c r="N198" s="303"/>
      <c r="O198" s="303"/>
      <c r="P198" s="303"/>
    </row>
    <row r="199" spans="1:33" ht="15" customHeight="1" x14ac:dyDescent="0.3">
      <c r="A199" s="495"/>
      <c r="B199" s="36"/>
      <c r="C199" s="36"/>
      <c r="D199" s="1"/>
      <c r="E199" s="45"/>
      <c r="F199" s="108"/>
      <c r="G199" s="45"/>
      <c r="H199" s="58"/>
      <c r="I199" s="80"/>
      <c r="J199" s="102"/>
      <c r="K199" s="102"/>
      <c r="L199" s="105"/>
      <c r="M199" s="282"/>
      <c r="N199" s="302"/>
      <c r="O199" s="302"/>
      <c r="P199" s="302"/>
    </row>
    <row r="200" spans="1:33" ht="23.4" x14ac:dyDescent="0.3">
      <c r="A200" s="496"/>
      <c r="B200" s="160"/>
      <c r="C200" s="160"/>
      <c r="D200" s="158" t="s">
        <v>62</v>
      </c>
      <c r="E200" s="168"/>
      <c r="F200" s="158"/>
      <c r="G200" s="169"/>
      <c r="H200" s="168"/>
      <c r="I200" s="174"/>
      <c r="J200" s="174"/>
      <c r="K200" s="174"/>
      <c r="L200" s="168"/>
      <c r="M200" s="291"/>
      <c r="N200" s="309"/>
      <c r="O200" s="309"/>
      <c r="P200" s="309"/>
    </row>
    <row r="201" spans="1:33" ht="15.6" x14ac:dyDescent="0.3">
      <c r="A201" s="496"/>
      <c r="B201" s="255"/>
      <c r="C201" s="204"/>
      <c r="D201" s="157" t="s">
        <v>414</v>
      </c>
      <c r="E201" s="47"/>
      <c r="F201" s="47"/>
      <c r="G201" s="47"/>
      <c r="H201" s="48"/>
      <c r="I201" s="48"/>
      <c r="J201" s="48"/>
      <c r="K201" s="48"/>
      <c r="L201" s="170"/>
      <c r="M201" s="280">
        <f>SUM(M202:M203)</f>
        <v>0</v>
      </c>
      <c r="N201" s="300">
        <f>SUM(N202:N203)</f>
        <v>0</v>
      </c>
      <c r="O201" s="300">
        <f>SUM(O202:O203)</f>
        <v>0</v>
      </c>
      <c r="P201" s="300">
        <f>SUM(P202:P203)</f>
        <v>0</v>
      </c>
      <c r="AF201" s="57"/>
      <c r="AG201" s="57"/>
    </row>
    <row r="202" spans="1:33" s="80" customFormat="1" ht="15.6" x14ac:dyDescent="0.3">
      <c r="A202" s="496"/>
      <c r="B202" s="70">
        <v>0</v>
      </c>
      <c r="C202" s="92" t="s">
        <v>415</v>
      </c>
      <c r="D202" s="174"/>
      <c r="E202" s="54" t="s">
        <v>416</v>
      </c>
      <c r="F202" s="86"/>
      <c r="G202" s="151" t="s">
        <v>417</v>
      </c>
      <c r="H202" s="96">
        <v>3.75</v>
      </c>
      <c r="I202" s="77" t="s">
        <v>83</v>
      </c>
      <c r="J202" s="179"/>
      <c r="K202" s="179"/>
      <c r="L202" s="77"/>
      <c r="M202" s="283"/>
      <c r="N202" s="303"/>
      <c r="O202" s="302"/>
      <c r="P202" s="302">
        <f>B202*H202</f>
        <v>0</v>
      </c>
    </row>
    <row r="203" spans="1:33" ht="15" customHeight="1" x14ac:dyDescent="0.3">
      <c r="A203" s="496"/>
      <c r="C203" s="36"/>
      <c r="D203" s="1"/>
      <c r="E203" s="122"/>
      <c r="F203" s="122"/>
      <c r="H203" s="1"/>
      <c r="I203" s="74"/>
      <c r="J203" s="180"/>
      <c r="K203" s="180"/>
      <c r="L203" s="37"/>
      <c r="M203" s="282"/>
      <c r="N203" s="302"/>
      <c r="O203" s="302"/>
      <c r="P203" s="302"/>
    </row>
    <row r="204" spans="1:33" ht="15.6" x14ac:dyDescent="0.3">
      <c r="A204" s="496"/>
      <c r="B204" s="255"/>
      <c r="C204" s="204"/>
      <c r="D204" s="157" t="s">
        <v>418</v>
      </c>
      <c r="E204" s="47"/>
      <c r="F204" s="47"/>
      <c r="G204" s="47"/>
      <c r="H204" s="48"/>
      <c r="I204" s="48"/>
      <c r="J204" s="48"/>
      <c r="K204" s="48"/>
      <c r="L204" s="170"/>
      <c r="M204" s="280">
        <f>SUM(M205:M212)</f>
        <v>0</v>
      </c>
      <c r="N204" s="280">
        <f t="shared" ref="N204:P204" si="16">SUM(N205:N212)</f>
        <v>0</v>
      </c>
      <c r="O204" s="280">
        <f t="shared" si="16"/>
        <v>0</v>
      </c>
      <c r="P204" s="280">
        <f t="shared" si="16"/>
        <v>0</v>
      </c>
      <c r="AF204" s="57"/>
      <c r="AG204" s="57"/>
    </row>
    <row r="205" spans="1:33" s="89" customFormat="1" ht="15" customHeight="1" x14ac:dyDescent="0.3">
      <c r="A205" s="496"/>
      <c r="B205" s="188"/>
      <c r="C205" s="372"/>
      <c r="D205" s="159" t="s">
        <v>419</v>
      </c>
      <c r="E205" s="183"/>
      <c r="F205" s="329"/>
      <c r="G205" s="329"/>
      <c r="H205" s="330"/>
      <c r="I205" s="177"/>
      <c r="J205" s="177"/>
      <c r="K205" s="177"/>
      <c r="L205" s="331"/>
      <c r="M205" s="332"/>
      <c r="N205" s="333"/>
      <c r="O205" s="333"/>
      <c r="P205" s="333"/>
    </row>
    <row r="206" spans="1:33" s="89" customFormat="1" x14ac:dyDescent="0.3">
      <c r="A206" s="496"/>
      <c r="B206" s="70">
        <v>0</v>
      </c>
      <c r="C206" s="92" t="s">
        <v>420</v>
      </c>
      <c r="D206" s="74"/>
      <c r="E206" s="90" t="s">
        <v>421</v>
      </c>
      <c r="F206" s="86"/>
      <c r="G206" s="446"/>
      <c r="H206" s="96">
        <v>5.25</v>
      </c>
      <c r="I206" s="77" t="s">
        <v>83</v>
      </c>
      <c r="J206" s="80"/>
      <c r="K206" s="80"/>
      <c r="L206" s="80"/>
      <c r="M206" s="292"/>
      <c r="N206" s="311"/>
      <c r="O206" s="303"/>
      <c r="P206" s="303">
        <f>B206*H206</f>
        <v>0</v>
      </c>
    </row>
    <row r="207" spans="1:33" s="89" customFormat="1" x14ac:dyDescent="0.3">
      <c r="A207" s="496"/>
      <c r="B207" s="73"/>
      <c r="C207" s="73"/>
      <c r="D207" s="74"/>
      <c r="E207" s="154"/>
      <c r="F207" s="74"/>
      <c r="G207" s="346"/>
      <c r="H207" s="1"/>
      <c r="I207" s="74"/>
      <c r="J207" s="437"/>
      <c r="K207" s="437"/>
      <c r="L207" s="113"/>
      <c r="M207" s="285"/>
      <c r="N207" s="303"/>
      <c r="O207" s="303"/>
      <c r="P207" s="303"/>
    </row>
    <row r="208" spans="1:33" s="89" customFormat="1" x14ac:dyDescent="0.3">
      <c r="A208" s="496"/>
      <c r="B208" s="70">
        <v>0</v>
      </c>
      <c r="C208" s="92" t="s">
        <v>415</v>
      </c>
      <c r="D208" s="74"/>
      <c r="E208" s="54" t="s">
        <v>422</v>
      </c>
      <c r="F208" s="86"/>
      <c r="G208" s="446"/>
      <c r="H208" s="438">
        <v>5.25</v>
      </c>
      <c r="I208" s="77" t="s">
        <v>83</v>
      </c>
      <c r="J208" s="80"/>
      <c r="K208" s="80"/>
      <c r="L208" s="80"/>
      <c r="M208" s="292"/>
      <c r="N208" s="311"/>
      <c r="O208" s="303"/>
      <c r="P208" s="303">
        <f>B208*H208</f>
        <v>0</v>
      </c>
    </row>
    <row r="209" spans="1:33" s="89" customFormat="1" x14ac:dyDescent="0.3">
      <c r="A209" s="496"/>
      <c r="B209" s="73"/>
      <c r="C209" s="73"/>
      <c r="D209" s="74"/>
      <c r="E209" s="154"/>
      <c r="F209" s="74"/>
      <c r="G209" s="346"/>
      <c r="H209" s="1"/>
      <c r="I209" s="74"/>
      <c r="J209" s="437"/>
      <c r="K209" s="437"/>
      <c r="L209" s="113"/>
      <c r="M209" s="285"/>
      <c r="N209" s="303"/>
      <c r="O209" s="303"/>
      <c r="P209" s="303"/>
    </row>
    <row r="210" spans="1:33" s="89" customFormat="1" x14ac:dyDescent="0.3">
      <c r="A210" s="496"/>
      <c r="B210" s="70">
        <v>0</v>
      </c>
      <c r="C210" s="92" t="s">
        <v>423</v>
      </c>
      <c r="D210" s="74"/>
      <c r="E210" s="90" t="s">
        <v>424</v>
      </c>
      <c r="F210" s="86"/>
      <c r="G210" s="86"/>
      <c r="H210" s="96">
        <v>75</v>
      </c>
      <c r="I210" s="77" t="s">
        <v>83</v>
      </c>
      <c r="J210" s="80"/>
      <c r="K210" s="80"/>
      <c r="L210" s="80"/>
      <c r="M210" s="292"/>
      <c r="N210" s="311"/>
      <c r="O210" s="303"/>
      <c r="P210" s="303">
        <f>B210*H210</f>
        <v>0</v>
      </c>
    </row>
    <row r="211" spans="1:33" s="436" customFormat="1" x14ac:dyDescent="0.3">
      <c r="A211" s="496"/>
      <c r="B211" s="73"/>
      <c r="C211" s="73"/>
      <c r="D211" s="74"/>
      <c r="E211" s="154"/>
      <c r="F211" s="74"/>
      <c r="G211" s="74"/>
      <c r="H211" s="74"/>
      <c r="I211" s="74"/>
      <c r="J211" s="437"/>
      <c r="K211" s="437"/>
      <c r="L211" s="113"/>
      <c r="M211" s="285"/>
      <c r="N211" s="303"/>
      <c r="O211" s="303"/>
      <c r="P211" s="303"/>
    </row>
    <row r="212" spans="1:33" ht="15" customHeight="1" x14ac:dyDescent="0.3">
      <c r="A212" s="496"/>
      <c r="C212" s="36"/>
      <c r="D212" s="1"/>
      <c r="E212" s="122"/>
      <c r="F212" s="122"/>
      <c r="H212" s="1"/>
      <c r="I212" s="74"/>
      <c r="J212" s="180"/>
      <c r="K212" s="180"/>
      <c r="L212" s="37"/>
      <c r="M212" s="282"/>
      <c r="N212" s="302"/>
      <c r="O212" s="302"/>
      <c r="P212" s="302"/>
    </row>
    <row r="213" spans="1:33" s="89" customFormat="1" ht="15.6" x14ac:dyDescent="0.3">
      <c r="A213" s="496"/>
      <c r="B213" s="352"/>
      <c r="C213" s="353"/>
      <c r="D213" s="157" t="s">
        <v>425</v>
      </c>
      <c r="E213" s="230"/>
      <c r="F213" s="230"/>
      <c r="G213" s="230"/>
      <c r="H213" s="347"/>
      <c r="I213" s="347"/>
      <c r="J213" s="347"/>
      <c r="K213" s="347"/>
      <c r="L213" s="348"/>
      <c r="M213" s="280">
        <f>SUM(M214:M227)</f>
        <v>0</v>
      </c>
      <c r="N213" s="280">
        <f>SUM(N214:N227)</f>
        <v>0</v>
      </c>
      <c r="O213" s="280">
        <f>SUM(O214:O227)</f>
        <v>0</v>
      </c>
      <c r="P213" s="280">
        <f>SUM(P214:P227)</f>
        <v>0</v>
      </c>
      <c r="AF213" s="349"/>
      <c r="AG213" s="349"/>
    </row>
    <row r="214" spans="1:33" ht="15" customHeight="1" x14ac:dyDescent="0.3">
      <c r="A214" s="496"/>
      <c r="B214" s="70">
        <v>0</v>
      </c>
      <c r="C214" s="92" t="s">
        <v>275</v>
      </c>
      <c r="D214" s="169"/>
      <c r="E214" s="90" t="s">
        <v>426</v>
      </c>
      <c r="F214" s="86"/>
      <c r="G214" s="360" t="s">
        <v>427</v>
      </c>
      <c r="H214" s="402">
        <v>3.68</v>
      </c>
      <c r="I214" s="77" t="s">
        <v>83</v>
      </c>
      <c r="J214" s="178"/>
      <c r="K214" s="178"/>
      <c r="L214" s="83"/>
      <c r="M214" s="290"/>
      <c r="N214" s="303"/>
      <c r="O214" s="303"/>
      <c r="P214" s="303">
        <f>B214*H214</f>
        <v>0</v>
      </c>
    </row>
    <row r="215" spans="1:33" ht="15" customHeight="1" x14ac:dyDescent="0.3">
      <c r="A215" s="496"/>
      <c r="B215" s="36"/>
      <c r="C215" s="73"/>
      <c r="D215" s="361" t="s">
        <v>428</v>
      </c>
      <c r="E215" s="45"/>
      <c r="F215" s="108"/>
      <c r="G215" s="45"/>
      <c r="H215" s="58"/>
      <c r="I215" s="80"/>
      <c r="J215" s="102"/>
      <c r="K215" s="102"/>
      <c r="L215" s="105"/>
      <c r="M215" s="285"/>
      <c r="N215" s="303"/>
      <c r="O215" s="303"/>
      <c r="P215" s="303"/>
    </row>
    <row r="216" spans="1:33" ht="15" customHeight="1" x14ac:dyDescent="0.3">
      <c r="A216" s="496"/>
      <c r="B216" s="70">
        <v>0</v>
      </c>
      <c r="C216" s="92" t="s">
        <v>275</v>
      </c>
      <c r="D216" s="52" t="s">
        <v>429</v>
      </c>
      <c r="E216" s="491" t="s">
        <v>430</v>
      </c>
      <c r="F216" s="492"/>
      <c r="G216" s="360" t="s">
        <v>431</v>
      </c>
      <c r="H216" s="96">
        <v>6</v>
      </c>
      <c r="I216" s="77" t="s">
        <v>83</v>
      </c>
      <c r="J216" s="178"/>
      <c r="K216" s="178"/>
      <c r="L216" s="83"/>
      <c r="M216" s="283"/>
      <c r="N216" s="303"/>
      <c r="O216" s="303"/>
      <c r="P216" s="303">
        <f t="shared" ref="P216:P219" si="17">B216*H216</f>
        <v>0</v>
      </c>
    </row>
    <row r="217" spans="1:33" ht="15" customHeight="1" x14ac:dyDescent="0.3">
      <c r="A217" s="496"/>
      <c r="B217" s="70">
        <v>0</v>
      </c>
      <c r="C217" s="92" t="s">
        <v>275</v>
      </c>
      <c r="D217" s="52" t="s">
        <v>429</v>
      </c>
      <c r="E217" s="491" t="s">
        <v>432</v>
      </c>
      <c r="F217" s="492"/>
      <c r="G217" s="360" t="s">
        <v>433</v>
      </c>
      <c r="H217" s="96">
        <v>6</v>
      </c>
      <c r="I217" s="77" t="s">
        <v>83</v>
      </c>
      <c r="J217" s="181"/>
      <c r="K217" s="181"/>
      <c r="L217" s="351"/>
      <c r="M217" s="285"/>
      <c r="N217" s="303"/>
      <c r="O217" s="303"/>
      <c r="P217" s="303">
        <f t="shared" si="17"/>
        <v>0</v>
      </c>
    </row>
    <row r="218" spans="1:33" ht="15" customHeight="1" x14ac:dyDescent="0.3">
      <c r="A218" s="496"/>
      <c r="B218" s="70">
        <v>0</v>
      </c>
      <c r="C218" s="92" t="s">
        <v>275</v>
      </c>
      <c r="D218" s="52" t="s">
        <v>429</v>
      </c>
      <c r="E218" s="491" t="s">
        <v>434</v>
      </c>
      <c r="F218" s="492"/>
      <c r="G218" s="360" t="s">
        <v>435</v>
      </c>
      <c r="H218" s="96">
        <v>6</v>
      </c>
      <c r="I218" s="77" t="s">
        <v>83</v>
      </c>
      <c r="J218" s="180"/>
      <c r="K218" s="180"/>
      <c r="L218" s="37"/>
      <c r="M218" s="285"/>
      <c r="N218" s="303"/>
      <c r="O218" s="303"/>
      <c r="P218" s="303">
        <f t="shared" si="17"/>
        <v>0</v>
      </c>
    </row>
    <row r="219" spans="1:33" ht="15" customHeight="1" x14ac:dyDescent="0.3">
      <c r="A219" s="496"/>
      <c r="B219" s="70">
        <v>0</v>
      </c>
      <c r="C219" s="92" t="s">
        <v>275</v>
      </c>
      <c r="D219" s="52" t="s">
        <v>429</v>
      </c>
      <c r="E219" s="491" t="s">
        <v>436</v>
      </c>
      <c r="F219" s="492"/>
      <c r="G219" s="360" t="s">
        <v>437</v>
      </c>
      <c r="H219" s="96">
        <v>6</v>
      </c>
      <c r="I219" s="77" t="s">
        <v>83</v>
      </c>
      <c r="J219" s="180"/>
      <c r="K219" s="180"/>
      <c r="L219" s="37"/>
      <c r="M219" s="285"/>
      <c r="N219" s="303"/>
      <c r="O219" s="303"/>
      <c r="P219" s="303">
        <f t="shared" si="17"/>
        <v>0</v>
      </c>
    </row>
    <row r="220" spans="1:33" ht="15" customHeight="1" x14ac:dyDescent="0.3">
      <c r="A220" s="496"/>
      <c r="C220" s="73"/>
      <c r="D220" s="36"/>
      <c r="E220" s="362" t="s">
        <v>438</v>
      </c>
      <c r="F220" s="359"/>
      <c r="G220" s="80"/>
      <c r="H220" s="400"/>
      <c r="I220" s="74"/>
      <c r="J220" s="180"/>
      <c r="K220" s="180"/>
      <c r="L220" s="37"/>
      <c r="M220" s="285"/>
      <c r="N220" s="303"/>
      <c r="O220" s="303"/>
      <c r="P220" s="303"/>
    </row>
    <row r="221" spans="1:33" ht="15" customHeight="1" x14ac:dyDescent="0.3">
      <c r="A221" s="496"/>
      <c r="C221" s="73"/>
      <c r="D221" s="36"/>
      <c r="E221" s="154" t="s">
        <v>439</v>
      </c>
      <c r="F221" s="359"/>
      <c r="G221" s="80"/>
      <c r="H221" s="74"/>
      <c r="I221" s="74"/>
      <c r="J221" s="180"/>
      <c r="K221" s="180"/>
      <c r="L221" s="37"/>
      <c r="M221" s="285"/>
      <c r="N221" s="303"/>
      <c r="O221" s="303"/>
      <c r="P221" s="303"/>
    </row>
    <row r="222" spans="1:33" ht="15" customHeight="1" x14ac:dyDescent="0.3">
      <c r="A222" s="496"/>
      <c r="C222" s="73"/>
      <c r="D222" s="36"/>
      <c r="F222" s="122"/>
      <c r="H222" s="1"/>
      <c r="I222" s="74"/>
      <c r="J222" s="180"/>
      <c r="K222" s="180"/>
      <c r="L222" s="37"/>
      <c r="M222" s="285"/>
      <c r="N222" s="303"/>
      <c r="O222" s="303"/>
      <c r="P222" s="303"/>
    </row>
    <row r="223" spans="1:33" ht="15" customHeight="1" x14ac:dyDescent="0.3">
      <c r="A223" s="496"/>
      <c r="B223" s="38">
        <f>B216</f>
        <v>0</v>
      </c>
      <c r="C223" s="92" t="s">
        <v>275</v>
      </c>
      <c r="D223" s="38" t="str">
        <f>D216</f>
        <v>No</v>
      </c>
      <c r="E223" s="90" t="s">
        <v>440</v>
      </c>
      <c r="F223" s="86"/>
      <c r="G223" s="360" t="s">
        <v>441</v>
      </c>
      <c r="H223" s="402">
        <v>26.25</v>
      </c>
      <c r="I223" s="77" t="s">
        <v>86</v>
      </c>
      <c r="J223" s="180"/>
      <c r="K223" s="180"/>
      <c r="L223" s="37"/>
      <c r="M223" s="283">
        <f>B223*H223</f>
        <v>0</v>
      </c>
      <c r="N223" s="303"/>
      <c r="O223" s="303"/>
      <c r="P223" s="303"/>
    </row>
    <row r="224" spans="1:33" ht="15" customHeight="1" x14ac:dyDescent="0.3">
      <c r="A224" s="496"/>
      <c r="B224" s="38">
        <f t="shared" ref="B224:B225" si="18">B217</f>
        <v>0</v>
      </c>
      <c r="C224" s="92" t="s">
        <v>275</v>
      </c>
      <c r="D224" s="38" t="str">
        <f>D217</f>
        <v>No</v>
      </c>
      <c r="E224" s="90" t="s">
        <v>442</v>
      </c>
      <c r="F224" s="86"/>
      <c r="G224" s="360" t="s">
        <v>443</v>
      </c>
      <c r="H224" s="402">
        <v>26.25</v>
      </c>
      <c r="I224" s="77" t="s">
        <v>86</v>
      </c>
      <c r="J224" s="180"/>
      <c r="K224" s="180"/>
      <c r="L224" s="37"/>
      <c r="M224" s="283">
        <f>B224*H224</f>
        <v>0</v>
      </c>
      <c r="N224" s="303"/>
      <c r="O224" s="303"/>
      <c r="P224" s="303"/>
    </row>
    <row r="225" spans="1:33" ht="15" customHeight="1" x14ac:dyDescent="0.3">
      <c r="A225" s="496"/>
      <c r="B225" s="38">
        <f t="shared" si="18"/>
        <v>0</v>
      </c>
      <c r="C225" s="92" t="s">
        <v>275</v>
      </c>
      <c r="D225" s="38" t="str">
        <f>D218</f>
        <v>No</v>
      </c>
      <c r="E225" s="90" t="s">
        <v>444</v>
      </c>
      <c r="F225" s="86"/>
      <c r="G225" s="360" t="s">
        <v>445</v>
      </c>
      <c r="H225" s="402">
        <v>26.25</v>
      </c>
      <c r="I225" s="77" t="s">
        <v>86</v>
      </c>
      <c r="J225" s="180"/>
      <c r="K225" s="180"/>
      <c r="L225" s="37"/>
      <c r="M225" s="283">
        <f>B225*H225</f>
        <v>0</v>
      </c>
      <c r="N225" s="303"/>
      <c r="O225" s="303"/>
      <c r="P225" s="303"/>
    </row>
    <row r="226" spans="1:33" ht="15" customHeight="1" x14ac:dyDescent="0.3">
      <c r="A226" s="496"/>
      <c r="B226" s="70">
        <v>0</v>
      </c>
      <c r="C226" s="92" t="s">
        <v>446</v>
      </c>
      <c r="D226" s="38" t="str">
        <f>D219</f>
        <v>No</v>
      </c>
      <c r="E226" s="90" t="s">
        <v>447</v>
      </c>
      <c r="F226" s="86"/>
      <c r="G226" s="360" t="s">
        <v>448</v>
      </c>
      <c r="H226" s="402">
        <v>78.75</v>
      </c>
      <c r="I226" s="77" t="s">
        <v>86</v>
      </c>
      <c r="J226" s="180"/>
      <c r="K226" s="180"/>
      <c r="L226" s="37"/>
      <c r="M226" s="283">
        <f>B226*H226</f>
        <v>0</v>
      </c>
      <c r="N226" s="303"/>
      <c r="O226" s="303"/>
      <c r="P226" s="303"/>
    </row>
    <row r="227" spans="1:33" ht="15" customHeight="1" x14ac:dyDescent="0.3">
      <c r="A227" s="496"/>
      <c r="C227" s="73"/>
      <c r="D227" s="36"/>
      <c r="F227" s="122"/>
      <c r="H227" s="1"/>
      <c r="I227" s="74"/>
      <c r="J227" s="180"/>
      <c r="K227" s="180"/>
      <c r="L227" s="37"/>
      <c r="M227" s="285"/>
      <c r="N227" s="303"/>
      <c r="O227" s="303"/>
      <c r="P227" s="303"/>
    </row>
    <row r="228" spans="1:33" ht="15.6" x14ac:dyDescent="0.3">
      <c r="A228" s="496"/>
      <c r="B228" s="255"/>
      <c r="C228" s="204"/>
      <c r="D228" s="157" t="s">
        <v>449</v>
      </c>
      <c r="E228" s="47"/>
      <c r="F228" s="47"/>
      <c r="G228" s="47"/>
      <c r="H228" s="48"/>
      <c r="I228" s="48"/>
      <c r="J228" s="48"/>
      <c r="K228" s="48"/>
      <c r="L228" s="170"/>
      <c r="M228" s="280">
        <f>SUM(M229:M232)</f>
        <v>0</v>
      </c>
      <c r="N228" s="300">
        <f>SUM(N229:N232)</f>
        <v>0</v>
      </c>
      <c r="O228" s="300">
        <f>SUM(O229:O232)</f>
        <v>0</v>
      </c>
      <c r="P228" s="300">
        <f>SUM(P229:P232)</f>
        <v>0</v>
      </c>
      <c r="AF228" s="57"/>
      <c r="AG228" s="57"/>
    </row>
    <row r="229" spans="1:33" ht="15.6" x14ac:dyDescent="0.3">
      <c r="A229" s="496"/>
      <c r="B229" s="70">
        <v>0</v>
      </c>
      <c r="C229" s="92" t="s">
        <v>275</v>
      </c>
      <c r="D229" s="174"/>
      <c r="E229" s="90" t="s">
        <v>450</v>
      </c>
      <c r="F229" s="86"/>
      <c r="G229" s="86" t="s">
        <v>451</v>
      </c>
      <c r="H229" s="402">
        <v>3.7</v>
      </c>
      <c r="I229" s="77" t="s">
        <v>83</v>
      </c>
      <c r="J229" s="179"/>
      <c r="K229" s="179"/>
      <c r="L229" s="77"/>
      <c r="M229" s="290"/>
      <c r="N229" s="303"/>
      <c r="O229" s="303"/>
      <c r="P229" s="303">
        <f>IF(B229=0,0,B229*H229)</f>
        <v>0</v>
      </c>
    </row>
    <row r="230" spans="1:33" s="80" customFormat="1" ht="15.6" x14ac:dyDescent="0.3">
      <c r="A230" s="496"/>
      <c r="B230" s="99">
        <f>IF(B229&gt;0,1,0)</f>
        <v>0</v>
      </c>
      <c r="C230" s="92" t="s">
        <v>176</v>
      </c>
      <c r="D230" s="174"/>
      <c r="E230" s="54" t="s">
        <v>452</v>
      </c>
      <c r="F230" s="86"/>
      <c r="G230" s="86" t="s">
        <v>453</v>
      </c>
      <c r="H230" s="402">
        <v>350</v>
      </c>
      <c r="I230" s="77" t="s">
        <v>86</v>
      </c>
      <c r="J230" s="179"/>
      <c r="K230" s="179"/>
      <c r="L230" s="77"/>
      <c r="M230" s="283">
        <f>B230*H230</f>
        <v>0</v>
      </c>
      <c r="N230" s="303"/>
      <c r="O230" s="303"/>
      <c r="P230" s="303"/>
    </row>
    <row r="231" spans="1:33" x14ac:dyDescent="0.3">
      <c r="A231" s="496"/>
      <c r="B231" s="36"/>
      <c r="C231" s="36"/>
      <c r="D231" s="1"/>
      <c r="E231" s="434" t="s">
        <v>454</v>
      </c>
      <c r="F231" s="1"/>
      <c r="G231" s="1"/>
      <c r="H231" s="1"/>
      <c r="I231" s="74"/>
      <c r="J231" s="180"/>
      <c r="K231" s="180"/>
      <c r="L231" s="37"/>
      <c r="M231" s="282"/>
      <c r="N231" s="302"/>
      <c r="O231" s="302"/>
      <c r="P231" s="302"/>
    </row>
    <row r="232" spans="1:33" ht="15" customHeight="1" x14ac:dyDescent="0.3">
      <c r="A232" s="496"/>
      <c r="C232" s="36"/>
      <c r="D232" s="1"/>
      <c r="E232" s="1"/>
      <c r="F232" s="122"/>
      <c r="H232" s="1"/>
      <c r="I232" s="74"/>
      <c r="J232" s="180"/>
      <c r="K232" s="180"/>
      <c r="L232" s="37"/>
      <c r="M232" s="282"/>
      <c r="N232" s="302"/>
      <c r="O232" s="302"/>
      <c r="P232" s="302"/>
    </row>
    <row r="233" spans="1:33" ht="15.6" x14ac:dyDescent="0.3">
      <c r="A233" s="496"/>
      <c r="B233" s="255"/>
      <c r="C233" s="204"/>
      <c r="D233" s="157" t="s">
        <v>455</v>
      </c>
      <c r="E233" s="47"/>
      <c r="F233" s="47"/>
      <c r="G233" s="47"/>
      <c r="H233" s="48"/>
      <c r="I233" s="48"/>
      <c r="J233" s="48"/>
      <c r="K233" s="48"/>
      <c r="L233" s="170"/>
      <c r="M233" s="280">
        <f>SUM(M234:M236)</f>
        <v>0</v>
      </c>
      <c r="N233" s="300">
        <f>SUM(N234:N236)</f>
        <v>0</v>
      </c>
      <c r="O233" s="300">
        <f>SUM(O234:O236)</f>
        <v>0</v>
      </c>
      <c r="P233" s="300">
        <f>SUM(P234:P236)</f>
        <v>0</v>
      </c>
      <c r="AF233" s="57"/>
      <c r="AG233" s="57"/>
    </row>
    <row r="234" spans="1:33" s="80" customFormat="1" ht="15.6" x14ac:dyDescent="0.3">
      <c r="A234" s="496"/>
      <c r="B234" s="70">
        <v>0</v>
      </c>
      <c r="C234" s="92" t="s">
        <v>456</v>
      </c>
      <c r="D234" s="174"/>
      <c r="E234" s="54" t="s">
        <v>457</v>
      </c>
      <c r="F234" s="86"/>
      <c r="G234" s="435" t="s">
        <v>458</v>
      </c>
      <c r="H234" s="402">
        <v>52.5</v>
      </c>
      <c r="I234" s="77" t="s">
        <v>83</v>
      </c>
      <c r="J234" s="179"/>
      <c r="K234" s="179"/>
      <c r="L234" s="77"/>
      <c r="M234" s="283"/>
      <c r="N234" s="303"/>
      <c r="O234" s="302"/>
      <c r="P234" s="302">
        <f>B234*H234</f>
        <v>0</v>
      </c>
    </row>
    <row r="235" spans="1:33" s="80" customFormat="1" ht="15.6" x14ac:dyDescent="0.3">
      <c r="A235" s="496"/>
      <c r="B235" s="99">
        <f>IF(B234&gt;0,1,0)</f>
        <v>0</v>
      </c>
      <c r="C235" s="92" t="s">
        <v>176</v>
      </c>
      <c r="D235" s="174"/>
      <c r="E235" s="90" t="s">
        <v>459</v>
      </c>
      <c r="F235" s="86"/>
      <c r="G235" s="86" t="s">
        <v>460</v>
      </c>
      <c r="H235" s="402">
        <v>105</v>
      </c>
      <c r="I235" s="77" t="s">
        <v>86</v>
      </c>
      <c r="J235" s="179"/>
      <c r="K235" s="179"/>
      <c r="L235" s="77"/>
      <c r="M235" s="283">
        <f>B235*H235</f>
        <v>0</v>
      </c>
      <c r="N235" s="303"/>
      <c r="O235" s="303"/>
      <c r="P235" s="303"/>
    </row>
    <row r="236" spans="1:33" ht="15" customHeight="1" x14ac:dyDescent="0.3">
      <c r="A236" s="496"/>
      <c r="C236" s="36"/>
      <c r="D236" s="1"/>
      <c r="E236" s="122"/>
      <c r="F236" s="122"/>
      <c r="H236" s="1"/>
      <c r="I236" s="74"/>
      <c r="J236" s="180"/>
      <c r="K236" s="180"/>
      <c r="L236" s="37"/>
      <c r="M236" s="282"/>
      <c r="N236" s="302"/>
      <c r="O236" s="302"/>
      <c r="P236" s="302"/>
    </row>
    <row r="237" spans="1:33" ht="15.6" x14ac:dyDescent="0.3">
      <c r="A237" s="496"/>
      <c r="B237" s="255"/>
      <c r="C237" s="204"/>
      <c r="D237" s="157" t="s">
        <v>461</v>
      </c>
      <c r="E237" s="47"/>
      <c r="F237" s="47"/>
      <c r="G237" s="47"/>
      <c r="H237" s="48"/>
      <c r="I237" s="48"/>
      <c r="J237" s="48"/>
      <c r="K237" s="48"/>
      <c r="L237" s="170"/>
      <c r="M237" s="280">
        <f>SUM(M238:M240)</f>
        <v>0</v>
      </c>
      <c r="N237" s="300">
        <f>SUM(N238:N240)</f>
        <v>0</v>
      </c>
      <c r="O237" s="300">
        <f>SUM(O238:O240)</f>
        <v>0</v>
      </c>
      <c r="P237" s="300">
        <f>SUM(P238:P240)</f>
        <v>0</v>
      </c>
      <c r="AF237" s="57"/>
      <c r="AG237" s="57"/>
    </row>
    <row r="238" spans="1:33" s="80" customFormat="1" ht="15.6" x14ac:dyDescent="0.3">
      <c r="A238" s="496"/>
      <c r="B238" s="70">
        <v>0</v>
      </c>
      <c r="C238" s="53" t="s">
        <v>275</v>
      </c>
      <c r="D238" s="174"/>
      <c r="E238" s="54" t="s">
        <v>462</v>
      </c>
      <c r="F238" s="151"/>
      <c r="G238" s="151" t="s">
        <v>463</v>
      </c>
      <c r="H238" s="96">
        <v>4</v>
      </c>
      <c r="I238" s="77" t="s">
        <v>83</v>
      </c>
      <c r="J238" s="179"/>
      <c r="K238" s="179"/>
      <c r="L238" s="77"/>
      <c r="M238" s="283"/>
      <c r="N238" s="303"/>
      <c r="O238" s="302"/>
      <c r="P238" s="302">
        <f>B238*H238</f>
        <v>0</v>
      </c>
    </row>
    <row r="239" spans="1:33" s="80" customFormat="1" ht="15.6" x14ac:dyDescent="0.3">
      <c r="A239" s="496"/>
      <c r="B239" s="99">
        <f>IF(B238&gt;0,1,0)</f>
        <v>0</v>
      </c>
      <c r="C239" s="53" t="s">
        <v>176</v>
      </c>
      <c r="D239" s="174"/>
      <c r="E239" s="54" t="s">
        <v>464</v>
      </c>
      <c r="F239" s="151"/>
      <c r="G239" s="151" t="s">
        <v>465</v>
      </c>
      <c r="H239" s="96">
        <v>15</v>
      </c>
      <c r="I239" s="77" t="s">
        <v>86</v>
      </c>
      <c r="J239" s="179"/>
      <c r="K239" s="179"/>
      <c r="L239" s="77"/>
      <c r="M239" s="283">
        <f>B239*H239</f>
        <v>0</v>
      </c>
      <c r="N239" s="303"/>
      <c r="O239" s="303"/>
      <c r="P239" s="303"/>
    </row>
    <row r="240" spans="1:33" ht="15" customHeight="1" x14ac:dyDescent="0.3">
      <c r="A240" s="496"/>
      <c r="C240" s="36"/>
      <c r="D240" s="1"/>
      <c r="E240" s="122"/>
      <c r="F240" s="122"/>
      <c r="H240" s="1"/>
      <c r="I240" s="74"/>
      <c r="J240" s="181"/>
      <c r="K240" s="181"/>
      <c r="L240" s="37"/>
      <c r="M240" s="282"/>
      <c r="N240" s="302"/>
      <c r="O240" s="302"/>
      <c r="P240" s="302"/>
    </row>
    <row r="241" spans="1:16" ht="15.6" x14ac:dyDescent="0.3">
      <c r="A241" s="496"/>
      <c r="B241" s="255"/>
      <c r="C241" s="204"/>
      <c r="D241" s="157" t="s">
        <v>198</v>
      </c>
      <c r="E241" s="47"/>
      <c r="F241" s="47"/>
      <c r="G241" s="47"/>
      <c r="H241" s="48" t="s">
        <v>83</v>
      </c>
      <c r="I241" s="48" t="s">
        <v>93</v>
      </c>
      <c r="J241" s="49"/>
      <c r="K241" s="49"/>
      <c r="L241" s="170"/>
      <c r="M241" s="280">
        <f>SUM(M242:M278)</f>
        <v>0</v>
      </c>
      <c r="N241" s="300">
        <f>SUM(N242:N278)</f>
        <v>0</v>
      </c>
      <c r="O241" s="300">
        <f>SUM(O242:O278)</f>
        <v>0</v>
      </c>
      <c r="P241" s="300">
        <f>SUM(P242:P278)</f>
        <v>0</v>
      </c>
    </row>
    <row r="242" spans="1:16" s="80" customFormat="1" ht="15" customHeight="1" x14ac:dyDescent="0.3">
      <c r="A242" s="496"/>
      <c r="B242" s="162"/>
      <c r="C242" s="162"/>
      <c r="D242" s="159" t="s">
        <v>199</v>
      </c>
      <c r="E242" s="159"/>
      <c r="F242" s="110"/>
      <c r="G242" s="110"/>
      <c r="H242" s="111"/>
      <c r="I242" s="177"/>
      <c r="J242" s="112"/>
      <c r="K242" s="112"/>
      <c r="L242" s="171"/>
      <c r="M242" s="281"/>
      <c r="N242" s="301"/>
      <c r="O242" s="301"/>
      <c r="P242" s="301"/>
    </row>
    <row r="243" spans="1:16" ht="15" customHeight="1" x14ac:dyDescent="0.3">
      <c r="A243" s="496"/>
      <c r="B243" s="52">
        <v>0</v>
      </c>
      <c r="C243" s="92" t="s">
        <v>128</v>
      </c>
      <c r="D243" s="1"/>
      <c r="E243" s="84" t="s">
        <v>200</v>
      </c>
      <c r="F243" s="114"/>
      <c r="G243" s="87" t="s">
        <v>201</v>
      </c>
      <c r="H243" s="72">
        <v>31.5</v>
      </c>
      <c r="I243" s="77" t="s">
        <v>83</v>
      </c>
      <c r="L243" s="97"/>
      <c r="M243" s="278"/>
      <c r="N243" s="29"/>
      <c r="O243" s="302">
        <f>IF(B243&gt;0,Lookups!$B$70,0)</f>
        <v>0</v>
      </c>
      <c r="P243" s="302">
        <f t="shared" ref="P243:P251" si="19">B243*H243</f>
        <v>0</v>
      </c>
    </row>
    <row r="244" spans="1:16" ht="15" customHeight="1" x14ac:dyDescent="0.3">
      <c r="A244" s="496"/>
      <c r="B244" s="52">
        <v>0</v>
      </c>
      <c r="C244" s="92" t="s">
        <v>128</v>
      </c>
      <c r="D244" s="1"/>
      <c r="E244" s="126" t="s">
        <v>202</v>
      </c>
      <c r="F244" s="395"/>
      <c r="G244" s="59" t="s">
        <v>203</v>
      </c>
      <c r="H244" s="72">
        <v>68.25</v>
      </c>
      <c r="I244" s="77" t="s">
        <v>83</v>
      </c>
      <c r="L244" s="97"/>
      <c r="M244" s="278"/>
      <c r="N244" s="29"/>
      <c r="O244" s="304">
        <f>IF(B244&gt;0,Lookups!$B$70,0)</f>
        <v>0</v>
      </c>
      <c r="P244" s="304">
        <f t="shared" ref="P244:P245" si="20">B244*H244</f>
        <v>0</v>
      </c>
    </row>
    <row r="245" spans="1:16" ht="15" customHeight="1" x14ac:dyDescent="0.3">
      <c r="A245" s="496"/>
      <c r="B245" s="52">
        <v>0</v>
      </c>
      <c r="C245" s="92" t="s">
        <v>128</v>
      </c>
      <c r="D245" s="1"/>
      <c r="E245" s="126" t="s">
        <v>204</v>
      </c>
      <c r="F245" s="395"/>
      <c r="G245" s="59" t="s">
        <v>205</v>
      </c>
      <c r="H245" s="72">
        <v>78.75</v>
      </c>
      <c r="I245" s="77" t="s">
        <v>83</v>
      </c>
      <c r="L245" s="97"/>
      <c r="M245" s="278"/>
      <c r="N245" s="29"/>
      <c r="O245" s="304">
        <f>IF(B245&gt;0,Lookups!$B$70,0)</f>
        <v>0</v>
      </c>
      <c r="P245" s="304">
        <f t="shared" si="20"/>
        <v>0</v>
      </c>
    </row>
    <row r="246" spans="1:16" ht="15" customHeight="1" x14ac:dyDescent="0.3">
      <c r="A246" s="496"/>
      <c r="B246" s="52">
        <v>0</v>
      </c>
      <c r="C246" s="92" t="s">
        <v>128</v>
      </c>
      <c r="D246" s="1"/>
      <c r="E246" s="126" t="s">
        <v>206</v>
      </c>
      <c r="F246" s="395"/>
      <c r="G246" s="59" t="s">
        <v>207</v>
      </c>
      <c r="H246" s="72">
        <v>94.5</v>
      </c>
      <c r="I246" s="77" t="s">
        <v>83</v>
      </c>
      <c r="L246" s="97"/>
      <c r="M246" s="278"/>
      <c r="N246" s="29"/>
      <c r="O246" s="304">
        <f>IF(B246&gt;0,Lookups!$B$70,0)</f>
        <v>0</v>
      </c>
      <c r="P246" s="304">
        <f t="shared" ref="P246:P247" si="21">B246*H246</f>
        <v>0</v>
      </c>
    </row>
    <row r="247" spans="1:16" ht="15" customHeight="1" x14ac:dyDescent="0.3">
      <c r="A247" s="496"/>
      <c r="B247" s="52">
        <v>0</v>
      </c>
      <c r="C247" s="92" t="s">
        <v>128</v>
      </c>
      <c r="D247" s="1"/>
      <c r="E247" s="126" t="s">
        <v>208</v>
      </c>
      <c r="F247" s="395"/>
      <c r="G247" s="59" t="s">
        <v>209</v>
      </c>
      <c r="H247" s="72">
        <v>105</v>
      </c>
      <c r="I247" s="77" t="s">
        <v>83</v>
      </c>
      <c r="L247" s="97"/>
      <c r="M247" s="278"/>
      <c r="N247" s="29"/>
      <c r="O247" s="304">
        <f>IF(B247&gt;0,Lookups!$B$70,0)</f>
        <v>0</v>
      </c>
      <c r="P247" s="304">
        <f t="shared" si="21"/>
        <v>0</v>
      </c>
    </row>
    <row r="248" spans="1:16" x14ac:dyDescent="0.3">
      <c r="A248" s="496"/>
      <c r="B248" s="52">
        <v>0</v>
      </c>
      <c r="C248" s="92" t="s">
        <v>128</v>
      </c>
      <c r="D248" s="1"/>
      <c r="E248" s="126" t="s">
        <v>210</v>
      </c>
      <c r="F248" s="115"/>
      <c r="G248" s="87" t="s">
        <v>211</v>
      </c>
      <c r="H248" s="72">
        <v>72</v>
      </c>
      <c r="I248" s="77" t="s">
        <v>83</v>
      </c>
      <c r="L248" s="97"/>
      <c r="M248" s="278"/>
      <c r="N248" s="29"/>
      <c r="O248" s="302">
        <f>IF(B248&gt;0,Lookups!$B$70,0)</f>
        <v>0</v>
      </c>
      <c r="P248" s="302">
        <f t="shared" si="19"/>
        <v>0</v>
      </c>
    </row>
    <row r="249" spans="1:16" ht="15" customHeight="1" x14ac:dyDescent="0.3">
      <c r="A249" s="496"/>
      <c r="B249" s="52">
        <v>0</v>
      </c>
      <c r="C249" s="92" t="s">
        <v>128</v>
      </c>
      <c r="D249" s="1"/>
      <c r="E249" s="54" t="s">
        <v>212</v>
      </c>
      <c r="F249" s="107"/>
      <c r="G249" s="59" t="s">
        <v>213</v>
      </c>
      <c r="H249" s="72">
        <v>81</v>
      </c>
      <c r="I249" s="77" t="s">
        <v>83</v>
      </c>
      <c r="L249" s="97"/>
      <c r="M249" s="278"/>
      <c r="N249" s="29"/>
      <c r="O249" s="302">
        <f>IF(B249&gt;0,Lookups!$B$70,0)</f>
        <v>0</v>
      </c>
      <c r="P249" s="302">
        <f t="shared" si="19"/>
        <v>0</v>
      </c>
    </row>
    <row r="250" spans="1:16" ht="15" customHeight="1" x14ac:dyDescent="0.3">
      <c r="A250" s="496"/>
      <c r="B250" s="52">
        <v>0</v>
      </c>
      <c r="C250" s="92" t="s">
        <v>128</v>
      </c>
      <c r="D250" s="1"/>
      <c r="E250" s="54" t="s">
        <v>214</v>
      </c>
      <c r="F250" s="150"/>
      <c r="G250" s="87" t="s">
        <v>215</v>
      </c>
      <c r="H250" s="72">
        <v>113</v>
      </c>
      <c r="I250" s="77" t="s">
        <v>83</v>
      </c>
      <c r="L250" s="172"/>
      <c r="M250" s="278"/>
      <c r="N250" s="29"/>
      <c r="O250" s="302">
        <f>IF(B250&gt;0,Lookups!$B$70,0)</f>
        <v>0</v>
      </c>
      <c r="P250" s="304">
        <f t="shared" si="19"/>
        <v>0</v>
      </c>
    </row>
    <row r="251" spans="1:16" ht="15" customHeight="1" x14ac:dyDescent="0.3">
      <c r="A251" s="496"/>
      <c r="B251" s="52">
        <v>0</v>
      </c>
      <c r="C251" s="92" t="s">
        <v>128</v>
      </c>
      <c r="D251" s="1"/>
      <c r="E251" s="54" t="s">
        <v>216</v>
      </c>
      <c r="F251" s="150"/>
      <c r="G251" s="87" t="s">
        <v>217</v>
      </c>
      <c r="H251" s="72">
        <v>134</v>
      </c>
      <c r="I251" s="77" t="s">
        <v>83</v>
      </c>
      <c r="L251" s="172"/>
      <c r="M251" s="278"/>
      <c r="N251" s="29"/>
      <c r="O251" s="302">
        <f>IF(B251&gt;0,Lookups!$B$70,0)</f>
        <v>0</v>
      </c>
      <c r="P251" s="304">
        <f t="shared" si="19"/>
        <v>0</v>
      </c>
    </row>
    <row r="252" spans="1:16" ht="15" customHeight="1" x14ac:dyDescent="0.3">
      <c r="A252" s="496"/>
      <c r="B252" s="162"/>
      <c r="C252" s="162"/>
      <c r="D252" s="159" t="s">
        <v>218</v>
      </c>
      <c r="E252" s="159"/>
      <c r="F252" s="110"/>
      <c r="G252" s="110"/>
      <c r="H252" s="330"/>
      <c r="I252" s="177"/>
      <c r="J252" s="112"/>
      <c r="K252" s="112"/>
      <c r="L252" s="171"/>
      <c r="M252" s="281"/>
      <c r="N252" s="301"/>
      <c r="O252" s="301"/>
      <c r="P252" s="301"/>
    </row>
    <row r="253" spans="1:16" ht="15" customHeight="1" x14ac:dyDescent="0.3">
      <c r="A253" s="496"/>
      <c r="B253" s="52">
        <v>0</v>
      </c>
      <c r="C253" s="92" t="s">
        <v>128</v>
      </c>
      <c r="D253" s="1"/>
      <c r="E253" s="485" t="s">
        <v>219</v>
      </c>
      <c r="F253" s="486"/>
      <c r="G253" s="87" t="s">
        <v>220</v>
      </c>
      <c r="H253" s="72">
        <v>23</v>
      </c>
      <c r="I253" s="77" t="s">
        <v>83</v>
      </c>
      <c r="L253" s="97"/>
      <c r="M253" s="278"/>
      <c r="N253" s="29"/>
      <c r="O253" s="302">
        <f>IF(B253&gt;0,Lookups!$B$70,0)</f>
        <v>0</v>
      </c>
      <c r="P253" s="302">
        <f>B253*H253</f>
        <v>0</v>
      </c>
    </row>
    <row r="254" spans="1:16" x14ac:dyDescent="0.3">
      <c r="A254" s="496"/>
      <c r="B254" s="52">
        <v>0</v>
      </c>
      <c r="C254" s="92" t="s">
        <v>128</v>
      </c>
      <c r="D254" s="1"/>
      <c r="E254" s="54" t="s">
        <v>221</v>
      </c>
      <c r="F254" s="107"/>
      <c r="G254" s="87" t="s">
        <v>222</v>
      </c>
      <c r="H254" s="72">
        <v>36.75</v>
      </c>
      <c r="I254" s="77" t="s">
        <v>83</v>
      </c>
      <c r="L254" s="97"/>
      <c r="M254" s="278"/>
      <c r="N254" s="29"/>
      <c r="O254" s="302">
        <f>IF(B254&gt;0,Lookups!$B$70,0)</f>
        <v>0</v>
      </c>
      <c r="P254" s="302">
        <f>B254*H254</f>
        <v>0</v>
      </c>
    </row>
    <row r="255" spans="1:16" s="218" customFormat="1" x14ac:dyDescent="0.3">
      <c r="A255" s="496"/>
      <c r="B255" s="52">
        <v>0</v>
      </c>
      <c r="C255" s="92" t="s">
        <v>128</v>
      </c>
      <c r="D255" s="74"/>
      <c r="E255" s="54" t="s">
        <v>223</v>
      </c>
      <c r="F255" s="107"/>
      <c r="G255" s="87" t="s">
        <v>224</v>
      </c>
      <c r="H255" s="72">
        <v>63</v>
      </c>
      <c r="I255" s="77" t="s">
        <v>83</v>
      </c>
      <c r="J255" s="80"/>
      <c r="K255" s="80"/>
      <c r="L255" s="219"/>
      <c r="M255" s="292"/>
      <c r="N255" s="311"/>
      <c r="O255" s="302">
        <f>IF(B255&gt;0,Lookups!$B$70,0)</f>
        <v>0</v>
      </c>
      <c r="P255" s="303">
        <f>B255*H255</f>
        <v>0</v>
      </c>
    </row>
    <row r="256" spans="1:16" ht="15" customHeight="1" x14ac:dyDescent="0.3">
      <c r="A256" s="496"/>
      <c r="B256" s="52">
        <v>0</v>
      </c>
      <c r="C256" s="92" t="s">
        <v>128</v>
      </c>
      <c r="D256" s="1"/>
      <c r="E256" s="54" t="s">
        <v>225</v>
      </c>
      <c r="F256" s="107"/>
      <c r="G256" s="59" t="s">
        <v>226</v>
      </c>
      <c r="H256" s="72">
        <v>89.25</v>
      </c>
      <c r="I256" s="77" t="s">
        <v>83</v>
      </c>
      <c r="L256" s="97"/>
      <c r="M256" s="278"/>
      <c r="N256" s="29"/>
      <c r="O256" s="302">
        <f>IF(B256&gt;0,Lookups!$B$70,0)</f>
        <v>0</v>
      </c>
      <c r="P256" s="302">
        <f>B256*H256</f>
        <v>0</v>
      </c>
    </row>
    <row r="257" spans="1:16" ht="15" customHeight="1" x14ac:dyDescent="0.3">
      <c r="A257" s="496"/>
      <c r="B257" s="393"/>
      <c r="C257" s="73"/>
      <c r="D257" s="1"/>
      <c r="E257" s="64"/>
      <c r="F257" s="423"/>
      <c r="G257" s="45"/>
      <c r="H257" s="77"/>
      <c r="I257" s="390"/>
      <c r="L257" s="97"/>
      <c r="M257" s="278"/>
      <c r="N257" s="29"/>
      <c r="O257" s="302"/>
      <c r="P257" s="302"/>
    </row>
    <row r="258" spans="1:16" ht="15" customHeight="1" x14ac:dyDescent="0.3">
      <c r="A258" s="496"/>
      <c r="B258" s="52">
        <v>0</v>
      </c>
      <c r="C258" s="92" t="s">
        <v>128</v>
      </c>
      <c r="D258" s="1"/>
      <c r="E258" s="54" t="s">
        <v>227</v>
      </c>
      <c r="F258" s="107"/>
      <c r="G258" s="59" t="s">
        <v>228</v>
      </c>
      <c r="H258" s="72">
        <v>21</v>
      </c>
      <c r="I258" s="390" t="s">
        <v>83</v>
      </c>
      <c r="L258" s="97"/>
      <c r="M258" s="278"/>
      <c r="N258" s="29"/>
      <c r="O258" s="302"/>
      <c r="P258" s="302">
        <f>B258*H258</f>
        <v>0</v>
      </c>
    </row>
    <row r="259" spans="1:16" ht="15" customHeight="1" x14ac:dyDescent="0.3">
      <c r="A259" s="496"/>
      <c r="B259" s="393"/>
      <c r="C259" s="73"/>
      <c r="D259" s="1"/>
      <c r="E259" s="64"/>
      <c r="F259" s="423"/>
      <c r="G259" s="45"/>
      <c r="H259" s="77"/>
      <c r="I259" s="390"/>
      <c r="L259" s="97"/>
      <c r="M259" s="278"/>
      <c r="N259" s="29"/>
      <c r="O259" s="302"/>
      <c r="P259" s="302"/>
    </row>
    <row r="260" spans="1:16" ht="15" customHeight="1" x14ac:dyDescent="0.3">
      <c r="A260" s="496"/>
      <c r="B260" s="162"/>
      <c r="C260" s="162"/>
      <c r="D260" s="159" t="s">
        <v>229</v>
      </c>
      <c r="E260" s="159"/>
      <c r="F260" s="110"/>
      <c r="G260" s="110"/>
      <c r="H260" s="111"/>
      <c r="I260" s="177"/>
      <c r="J260" s="112"/>
      <c r="K260" s="112"/>
      <c r="L260" s="171"/>
      <c r="M260" s="281"/>
      <c r="N260" s="301"/>
      <c r="O260" s="301"/>
      <c r="P260" s="301"/>
    </row>
    <row r="261" spans="1:16" ht="15" customHeight="1" x14ac:dyDescent="0.3">
      <c r="A261" s="496"/>
      <c r="B261" s="99">
        <f>SUM(B243:B258)</f>
        <v>0</v>
      </c>
      <c r="C261" s="92" t="s">
        <v>128</v>
      </c>
      <c r="E261" s="90" t="s">
        <v>230</v>
      </c>
      <c r="F261" s="107"/>
      <c r="G261" s="59" t="s">
        <v>231</v>
      </c>
      <c r="H261" s="72">
        <v>52.5</v>
      </c>
      <c r="I261" s="77" t="s">
        <v>86</v>
      </c>
      <c r="J261" s="51"/>
      <c r="K261" s="51"/>
      <c r="L261"/>
      <c r="M261" s="282">
        <f>B261*H261</f>
        <v>0</v>
      </c>
      <c r="N261" s="29"/>
      <c r="O261" s="29"/>
      <c r="P261" s="29"/>
    </row>
    <row r="262" spans="1:16" x14ac:dyDescent="0.3">
      <c r="A262" s="496"/>
      <c r="C262" s="36"/>
      <c r="D262" s="1"/>
      <c r="E262" s="141" t="s">
        <v>232</v>
      </c>
      <c r="F262" s="81"/>
      <c r="G262" s="64"/>
      <c r="H262" s="104"/>
      <c r="J262" s="1"/>
      <c r="K262" s="1"/>
      <c r="L262" s="62"/>
      <c r="M262" s="284"/>
      <c r="N262" s="304"/>
      <c r="O262" s="304"/>
      <c r="P262" s="304"/>
    </row>
    <row r="263" spans="1:16" ht="15" customHeight="1" x14ac:dyDescent="0.3">
      <c r="A263" s="496"/>
      <c r="C263" s="36"/>
      <c r="D263" s="1"/>
      <c r="E263" s="60" t="s">
        <v>233</v>
      </c>
      <c r="F263" s="64"/>
      <c r="G263" s="64"/>
      <c r="H263" s="104"/>
      <c r="J263" s="1"/>
      <c r="K263" s="1"/>
      <c r="L263" s="62"/>
      <c r="M263" s="284"/>
      <c r="N263" s="304"/>
      <c r="O263" s="304"/>
      <c r="P263" s="304"/>
    </row>
    <row r="264" spans="1:16" ht="15" customHeight="1" x14ac:dyDescent="0.3">
      <c r="A264" s="496"/>
      <c r="C264" s="36"/>
      <c r="D264" s="1"/>
      <c r="E264" s="60"/>
      <c r="F264" s="64"/>
      <c r="G264" s="64"/>
      <c r="H264" s="104"/>
      <c r="J264" s="1"/>
      <c r="K264" s="1"/>
      <c r="L264" s="62"/>
      <c r="M264" s="284"/>
      <c r="N264" s="304"/>
      <c r="O264" s="304"/>
      <c r="P264" s="304"/>
    </row>
    <row r="265" spans="1:16" ht="15" customHeight="1" x14ac:dyDescent="0.3">
      <c r="A265" s="496"/>
      <c r="C265" s="116" t="s">
        <v>234</v>
      </c>
      <c r="L265" s="62"/>
      <c r="M265" s="284"/>
      <c r="N265" s="304"/>
      <c r="O265" s="304"/>
      <c r="P265" s="304"/>
    </row>
    <row r="266" spans="1:16" ht="15" customHeight="1" x14ac:dyDescent="0.3">
      <c r="A266" s="496"/>
      <c r="C266" s="136" t="s">
        <v>235</v>
      </c>
      <c r="D266" s="80"/>
      <c r="E266" s="80"/>
      <c r="F266" s="80"/>
      <c r="G266" s="80"/>
      <c r="L266" s="62"/>
      <c r="M266" s="284"/>
      <c r="N266" s="304"/>
      <c r="O266" s="304"/>
      <c r="P266" s="304"/>
    </row>
    <row r="267" spans="1:16" ht="15" customHeight="1" x14ac:dyDescent="0.3">
      <c r="A267" s="496"/>
      <c r="C267" s="117" t="s">
        <v>236</v>
      </c>
      <c r="D267" s="117" t="s">
        <v>237</v>
      </c>
      <c r="E267" s="117" t="s">
        <v>238</v>
      </c>
      <c r="F267" s="117" t="s">
        <v>239</v>
      </c>
      <c r="G267" s="117" t="s">
        <v>240</v>
      </c>
      <c r="H267" s="488" t="s">
        <v>66</v>
      </c>
      <c r="I267" s="488"/>
      <c r="J267" s="488"/>
      <c r="K267" s="136"/>
      <c r="L267" s="62"/>
      <c r="M267" s="284"/>
      <c r="N267" s="304"/>
      <c r="O267" s="304"/>
      <c r="P267" s="304"/>
    </row>
    <row r="268" spans="1:16" ht="15" customHeight="1" x14ac:dyDescent="0.3">
      <c r="A268" s="496"/>
      <c r="C268" s="118" t="s">
        <v>241</v>
      </c>
      <c r="D268" s="118">
        <v>8</v>
      </c>
      <c r="E268" s="119">
        <v>130</v>
      </c>
      <c r="F268" s="120">
        <f>E268/15.4</f>
        <v>8.4415584415584419</v>
      </c>
      <c r="G268" s="120">
        <v>4</v>
      </c>
      <c r="H268" s="478" t="s">
        <v>242</v>
      </c>
      <c r="I268" s="479"/>
      <c r="J268" s="480"/>
      <c r="L268" s="62"/>
      <c r="M268" s="284"/>
      <c r="N268" s="304"/>
      <c r="O268" s="304"/>
      <c r="P268" s="304"/>
    </row>
    <row r="269" spans="1:16" ht="15" customHeight="1" x14ac:dyDescent="0.3">
      <c r="A269" s="496"/>
      <c r="C269" s="118" t="s">
        <v>243</v>
      </c>
      <c r="D269" s="118">
        <v>24</v>
      </c>
      <c r="E269" s="119">
        <v>185</v>
      </c>
      <c r="F269" s="120">
        <v>12</v>
      </c>
      <c r="G269" s="120">
        <v>6</v>
      </c>
      <c r="H269" s="137" t="s">
        <v>244</v>
      </c>
      <c r="I269" s="396"/>
      <c r="J269" s="397"/>
      <c r="L269" s="62"/>
      <c r="M269" s="284"/>
      <c r="N269" s="304"/>
      <c r="O269" s="304"/>
      <c r="P269" s="304"/>
    </row>
    <row r="270" spans="1:16" ht="15" customHeight="1" x14ac:dyDescent="0.3">
      <c r="A270" s="496"/>
      <c r="C270" s="118" t="s">
        <v>245</v>
      </c>
      <c r="D270" s="118">
        <v>24</v>
      </c>
      <c r="E270" s="119">
        <v>370</v>
      </c>
      <c r="F270" s="120">
        <v>24</v>
      </c>
      <c r="G270" s="120">
        <v>12</v>
      </c>
      <c r="H270" s="137" t="s">
        <v>244</v>
      </c>
      <c r="I270" s="396"/>
      <c r="J270" s="397"/>
      <c r="L270" s="62"/>
      <c r="M270" s="284"/>
      <c r="N270" s="304"/>
      <c r="O270" s="304"/>
      <c r="P270" s="304"/>
    </row>
    <row r="271" spans="1:16" ht="15" customHeight="1" x14ac:dyDescent="0.3">
      <c r="A271" s="496"/>
      <c r="C271" s="118" t="s">
        <v>246</v>
      </c>
      <c r="D271" s="118">
        <v>48</v>
      </c>
      <c r="E271" s="119">
        <v>370</v>
      </c>
      <c r="F271" s="120">
        <v>24</v>
      </c>
      <c r="G271" s="120">
        <v>12</v>
      </c>
      <c r="H271" s="137" t="s">
        <v>244</v>
      </c>
      <c r="I271" s="396"/>
      <c r="J271" s="397"/>
      <c r="L271" s="62"/>
      <c r="M271" s="284"/>
      <c r="N271" s="304"/>
      <c r="O271" s="304"/>
      <c r="P271" s="304"/>
    </row>
    <row r="272" spans="1:16" ht="15" customHeight="1" x14ac:dyDescent="0.3">
      <c r="A272" s="496"/>
      <c r="C272" s="118" t="s">
        <v>247</v>
      </c>
      <c r="D272" s="118">
        <v>48</v>
      </c>
      <c r="E272" s="119">
        <v>740</v>
      </c>
      <c r="F272" s="120">
        <v>48</v>
      </c>
      <c r="G272" s="120">
        <v>24</v>
      </c>
      <c r="H272" s="137" t="s">
        <v>244</v>
      </c>
      <c r="I272" s="396"/>
      <c r="J272" s="397"/>
      <c r="L272" s="62"/>
      <c r="M272" s="284"/>
      <c r="N272" s="304"/>
      <c r="O272" s="304"/>
      <c r="P272" s="304"/>
    </row>
    <row r="273" spans="1:33" ht="15" customHeight="1" x14ac:dyDescent="0.3">
      <c r="A273" s="496"/>
      <c r="C273" s="118" t="s">
        <v>248</v>
      </c>
      <c r="D273" s="118">
        <v>24</v>
      </c>
      <c r="E273" s="119">
        <v>180</v>
      </c>
      <c r="F273" s="120">
        <f>E273/15.4</f>
        <v>11.688311688311687</v>
      </c>
      <c r="G273" s="120">
        <v>6</v>
      </c>
      <c r="H273" s="481" t="s">
        <v>244</v>
      </c>
      <c r="I273" s="482"/>
      <c r="J273" s="483"/>
      <c r="K273" s="80"/>
      <c r="L273" s="62"/>
      <c r="M273" s="284"/>
      <c r="N273" s="304"/>
      <c r="O273" s="304"/>
      <c r="P273" s="304"/>
    </row>
    <row r="274" spans="1:33" ht="15" customHeight="1" x14ac:dyDescent="0.3">
      <c r="A274" s="496"/>
      <c r="C274" s="118" t="s">
        <v>249</v>
      </c>
      <c r="D274" s="118">
        <v>24</v>
      </c>
      <c r="E274" s="119">
        <v>370</v>
      </c>
      <c r="F274" s="120">
        <f t="shared" ref="F274:F276" si="22">E274/15.4</f>
        <v>24.025974025974026</v>
      </c>
      <c r="G274" s="120">
        <v>12</v>
      </c>
      <c r="H274" s="481" t="s">
        <v>250</v>
      </c>
      <c r="I274" s="482"/>
      <c r="J274" s="483"/>
      <c r="K274" s="80"/>
      <c r="L274" s="62"/>
      <c r="M274" s="284"/>
      <c r="N274" s="304"/>
      <c r="O274" s="304"/>
      <c r="P274" s="304"/>
    </row>
    <row r="275" spans="1:33" ht="15" customHeight="1" x14ac:dyDescent="0.3">
      <c r="A275" s="496"/>
      <c r="C275" s="118" t="s">
        <v>251</v>
      </c>
      <c r="D275" s="118">
        <v>48</v>
      </c>
      <c r="E275" s="119">
        <v>370</v>
      </c>
      <c r="F275" s="120">
        <f t="shared" si="22"/>
        <v>24.025974025974026</v>
      </c>
      <c r="G275" s="120">
        <v>12</v>
      </c>
      <c r="H275" s="481" t="s">
        <v>244</v>
      </c>
      <c r="I275" s="482"/>
      <c r="J275" s="483"/>
      <c r="K275" s="80"/>
      <c r="L275" s="62"/>
      <c r="M275" s="284"/>
      <c r="N275" s="304"/>
      <c r="O275" s="304"/>
      <c r="P275" s="304"/>
    </row>
    <row r="276" spans="1:33" ht="15" customHeight="1" x14ac:dyDescent="0.3">
      <c r="A276" s="496"/>
      <c r="C276" s="118" t="s">
        <v>252</v>
      </c>
      <c r="D276" s="118">
        <v>48</v>
      </c>
      <c r="E276" s="119">
        <v>740</v>
      </c>
      <c r="F276" s="120">
        <f t="shared" si="22"/>
        <v>48.051948051948052</v>
      </c>
      <c r="G276" s="120">
        <v>24</v>
      </c>
      <c r="H276" s="484" t="s">
        <v>244</v>
      </c>
      <c r="I276" s="484"/>
      <c r="J276" s="484"/>
      <c r="K276" s="80"/>
      <c r="L276" s="62"/>
      <c r="M276" s="284"/>
      <c r="N276" s="304"/>
      <c r="O276" s="304"/>
      <c r="P276" s="304"/>
    </row>
    <row r="277" spans="1:33" ht="15" customHeight="1" x14ac:dyDescent="0.3">
      <c r="A277" s="496"/>
      <c r="C277"/>
      <c r="H277" s="121" t="s">
        <v>253</v>
      </c>
      <c r="L277" s="62"/>
      <c r="M277" s="284"/>
      <c r="N277" s="304"/>
      <c r="O277" s="304"/>
      <c r="P277" s="304"/>
    </row>
    <row r="278" spans="1:33" ht="15" customHeight="1" x14ac:dyDescent="0.3">
      <c r="A278" s="496"/>
      <c r="C278"/>
      <c r="H278" s="121"/>
      <c r="L278" s="62"/>
      <c r="M278" s="284"/>
      <c r="N278" s="304"/>
      <c r="O278" s="304"/>
      <c r="P278" s="304"/>
    </row>
    <row r="279" spans="1:33" ht="15.6" hidden="1" x14ac:dyDescent="0.3">
      <c r="A279" s="496"/>
      <c r="B279" s="255"/>
      <c r="C279" s="204"/>
      <c r="D279" s="157" t="s">
        <v>254</v>
      </c>
      <c r="E279" s="47"/>
      <c r="F279" s="47"/>
      <c r="G279" s="47"/>
      <c r="H279" s="48"/>
      <c r="I279" s="48"/>
      <c r="J279" s="48"/>
      <c r="K279" s="48"/>
      <c r="L279" s="170"/>
      <c r="M279" s="280"/>
      <c r="N279" s="300"/>
      <c r="O279" s="300"/>
      <c r="P279" s="300"/>
      <c r="AF279" s="57"/>
      <c r="AG279" s="57"/>
    </row>
    <row r="280" spans="1:33" ht="15.6" hidden="1" x14ac:dyDescent="0.3">
      <c r="A280" s="496"/>
      <c r="B280" s="52">
        <v>0</v>
      </c>
      <c r="C280" s="92" t="s">
        <v>176</v>
      </c>
      <c r="D280" s="168"/>
      <c r="E280" s="54" t="s">
        <v>466</v>
      </c>
      <c r="F280" s="151"/>
      <c r="G280" s="151" t="s">
        <v>467</v>
      </c>
      <c r="H280" s="96" t="s">
        <v>256</v>
      </c>
      <c r="I280" s="77" t="s">
        <v>86</v>
      </c>
      <c r="L280"/>
      <c r="M280" s="293"/>
      <c r="N280" s="29"/>
      <c r="O280" s="302"/>
      <c r="P280" s="302"/>
    </row>
    <row r="281" spans="1:33" hidden="1" x14ac:dyDescent="0.3">
      <c r="A281" s="496"/>
      <c r="C281" s="36"/>
      <c r="D281" s="1"/>
      <c r="E281" s="1"/>
      <c r="F281" s="122"/>
      <c r="H281" s="1"/>
      <c r="I281" s="1"/>
      <c r="J281" s="1"/>
      <c r="K281" s="1"/>
      <c r="L281" s="37"/>
      <c r="M281" s="282"/>
      <c r="N281" s="302"/>
      <c r="O281" s="302"/>
      <c r="P281" s="302"/>
    </row>
    <row r="282" spans="1:33" ht="15.6" x14ac:dyDescent="0.3">
      <c r="A282" s="496"/>
      <c r="B282" s="255"/>
      <c r="C282" s="204"/>
      <c r="D282" s="157" t="s">
        <v>257</v>
      </c>
      <c r="E282" s="47"/>
      <c r="F282" s="47"/>
      <c r="G282" s="47"/>
      <c r="H282" s="48"/>
      <c r="I282" s="48"/>
      <c r="J282" s="48"/>
      <c r="K282" s="48"/>
      <c r="L282" s="170"/>
      <c r="M282" s="280"/>
      <c r="N282" s="300"/>
      <c r="O282" s="300"/>
      <c r="P282" s="300"/>
      <c r="AF282" s="57"/>
      <c r="AG282" s="57"/>
    </row>
    <row r="283" spans="1:33" ht="15" customHeight="1" x14ac:dyDescent="0.3">
      <c r="A283" s="496"/>
      <c r="C283"/>
      <c r="E283" s="477" t="s">
        <v>258</v>
      </c>
      <c r="F283" s="477"/>
      <c r="G283" s="477"/>
      <c r="H283" s="477"/>
      <c r="I283" s="477"/>
      <c r="J283" s="477"/>
      <c r="K283" s="202"/>
      <c r="L283" s="62"/>
      <c r="M283" s="284"/>
      <c r="N283" s="304"/>
      <c r="O283" s="304"/>
      <c r="P283" s="304"/>
    </row>
    <row r="284" spans="1:33" x14ac:dyDescent="0.3">
      <c r="A284" s="496"/>
      <c r="C284"/>
      <c r="E284" s="477"/>
      <c r="F284" s="477"/>
      <c r="G284" s="477"/>
      <c r="H284" s="477"/>
      <c r="I284" s="477"/>
      <c r="J284" s="477"/>
      <c r="K284" s="202"/>
      <c r="L284" s="62"/>
      <c r="M284" s="284"/>
      <c r="N284" s="304"/>
      <c r="O284" s="304"/>
      <c r="P284" s="304"/>
    </row>
    <row r="285" spans="1:33" x14ac:dyDescent="0.3">
      <c r="A285" s="496"/>
      <c r="B285" s="99"/>
      <c r="C285" s="99"/>
      <c r="D285" s="66"/>
      <c r="E285" s="81"/>
      <c r="F285" s="81"/>
      <c r="G285" s="82"/>
      <c r="H285" s="77"/>
      <c r="I285" s="77"/>
      <c r="J285" s="83"/>
      <c r="K285" s="83"/>
      <c r="L285" s="69"/>
      <c r="M285" s="282"/>
      <c r="N285" s="302"/>
      <c r="O285" s="302"/>
      <c r="P285" s="302"/>
    </row>
    <row r="286" spans="1:33" ht="15.6" x14ac:dyDescent="0.3">
      <c r="A286" s="496"/>
      <c r="B286" s="255"/>
      <c r="C286" s="204"/>
      <c r="D286" s="157" t="s">
        <v>259</v>
      </c>
      <c r="E286" s="47"/>
      <c r="F286" s="47"/>
      <c r="G286" s="47"/>
      <c r="H286" s="48"/>
      <c r="I286" s="48"/>
      <c r="J286" s="48"/>
      <c r="K286" s="48"/>
      <c r="L286" s="170"/>
      <c r="M286" s="280">
        <f>SUM(M287:M291)</f>
        <v>0</v>
      </c>
      <c r="N286" s="300">
        <f t="shared" ref="N286:P286" si="23">SUM(N287:N291)</f>
        <v>0</v>
      </c>
      <c r="O286" s="300">
        <f>SUM(O287:O291)</f>
        <v>0</v>
      </c>
      <c r="P286" s="300">
        <f t="shared" si="23"/>
        <v>0</v>
      </c>
      <c r="AF286" s="57"/>
      <c r="AG286" s="57"/>
    </row>
    <row r="287" spans="1:33" x14ac:dyDescent="0.3">
      <c r="A287" s="496"/>
      <c r="B287" s="52">
        <v>0</v>
      </c>
      <c r="C287" s="53" t="s">
        <v>176</v>
      </c>
      <c r="E287" s="123" t="s">
        <v>260</v>
      </c>
      <c r="F287" s="125"/>
      <c r="G287" s="126"/>
      <c r="H287" s="93">
        <v>0</v>
      </c>
      <c r="I287" s="77" t="s">
        <v>83</v>
      </c>
      <c r="J287" s="39"/>
      <c r="K287" s="39"/>
      <c r="M287" s="282"/>
      <c r="N287" s="306"/>
      <c r="O287" s="307"/>
      <c r="P287" s="307">
        <f>+B287*H287</f>
        <v>0</v>
      </c>
    </row>
    <row r="288" spans="1:33" x14ac:dyDescent="0.3">
      <c r="A288" s="496"/>
      <c r="B288" s="52">
        <v>0</v>
      </c>
      <c r="C288" s="53" t="s">
        <v>176</v>
      </c>
      <c r="E288" s="123" t="s">
        <v>261</v>
      </c>
      <c r="F288" s="125"/>
      <c r="G288" s="126"/>
      <c r="H288" s="93">
        <v>0</v>
      </c>
      <c r="I288" s="77" t="s">
        <v>86</v>
      </c>
      <c r="J288" s="39"/>
      <c r="K288" s="39"/>
      <c r="M288" s="282">
        <f>+B288*H288</f>
        <v>0</v>
      </c>
      <c r="N288" s="306"/>
      <c r="O288" s="307"/>
      <c r="P288" s="307"/>
    </row>
    <row r="289" spans="1:16" x14ac:dyDescent="0.3">
      <c r="A289" s="496"/>
      <c r="B289" s="52">
        <v>0</v>
      </c>
      <c r="C289" s="53" t="s">
        <v>176</v>
      </c>
      <c r="E289" s="123" t="s">
        <v>262</v>
      </c>
      <c r="F289" s="125"/>
      <c r="G289" s="126"/>
      <c r="H289" s="93">
        <v>0</v>
      </c>
      <c r="I289" s="38" t="s">
        <v>75</v>
      </c>
      <c r="J289" s="39"/>
      <c r="K289" s="39"/>
      <c r="M289" s="282"/>
      <c r="N289" s="302">
        <f>+B289*H289</f>
        <v>0</v>
      </c>
      <c r="O289" s="307"/>
      <c r="P289" s="307"/>
    </row>
    <row r="290" spans="1:16" ht="15" x14ac:dyDescent="0.3">
      <c r="A290" s="496"/>
      <c r="E290" s="252" t="s">
        <v>263</v>
      </c>
      <c r="L290"/>
      <c r="M290" s="288"/>
      <c r="N290" s="306"/>
      <c r="O290" s="306"/>
      <c r="P290" s="306"/>
    </row>
    <row r="291" spans="1:16" x14ac:dyDescent="0.3">
      <c r="A291" s="496"/>
      <c r="L291"/>
      <c r="M291" s="288"/>
      <c r="N291" s="306"/>
      <c r="O291" s="306"/>
      <c r="P291" s="306"/>
    </row>
    <row r="292" spans="1:16" ht="15" customHeight="1" x14ac:dyDescent="0.3">
      <c r="A292" s="458"/>
      <c r="B292" s="163" t="s">
        <v>264</v>
      </c>
      <c r="C292" s="155"/>
      <c r="D292" s="24"/>
      <c r="E292" s="24"/>
      <c r="F292" s="127"/>
      <c r="G292" s="127"/>
      <c r="H292" s="128"/>
      <c r="I292" s="128"/>
      <c r="J292" s="24"/>
      <c r="K292" s="24"/>
      <c r="L292" s="129"/>
      <c r="M292" s="294">
        <f>M13+M26+M61+M66+M75+M84+M113+M122+M130+M176+M201+M204+M213+M228+M233+M237+M241+M286</f>
        <v>0</v>
      </c>
      <c r="N292" s="294">
        <f t="shared" ref="N292:P292" si="24">N13+N26+N61+N66+N75+N84+N113+N122+N130+N176+N201+N204+N213+N228+N233+N237+N241+N286</f>
        <v>0</v>
      </c>
      <c r="O292" s="294">
        <f t="shared" si="24"/>
        <v>0</v>
      </c>
      <c r="P292" s="294">
        <f t="shared" si="24"/>
        <v>0</v>
      </c>
    </row>
    <row r="293" spans="1:16" ht="10.199999999999999" customHeight="1" x14ac:dyDescent="0.3">
      <c r="A293" s="458"/>
      <c r="B293" s="99"/>
      <c r="C293" s="99"/>
      <c r="D293" s="66"/>
      <c r="E293" s="81"/>
      <c r="F293" s="81"/>
      <c r="G293" s="82"/>
      <c r="H293" s="77"/>
      <c r="I293" s="77"/>
      <c r="J293" s="83"/>
      <c r="K293" s="83"/>
      <c r="L293" s="69"/>
      <c r="M293" s="282"/>
      <c r="N293" s="302"/>
      <c r="O293" s="302"/>
      <c r="P293" s="302"/>
    </row>
    <row r="294" spans="1:16" ht="15.6" x14ac:dyDescent="0.3">
      <c r="A294" s="458"/>
      <c r="B294" s="256" t="s">
        <v>265</v>
      </c>
      <c r="C294" s="155"/>
      <c r="D294" s="24"/>
      <c r="E294" s="24"/>
      <c r="F294" s="127"/>
      <c r="G294" s="127"/>
      <c r="H294" s="128"/>
      <c r="I294" s="128"/>
      <c r="J294" s="24"/>
      <c r="K294" s="24"/>
      <c r="L294" s="129"/>
      <c r="M294" s="277" t="s">
        <v>74</v>
      </c>
      <c r="N294" s="130" t="s">
        <v>75</v>
      </c>
      <c r="O294" s="130" t="s">
        <v>266</v>
      </c>
      <c r="P294" s="130" t="s">
        <v>77</v>
      </c>
    </row>
    <row r="295" spans="1:16" ht="15.6" x14ac:dyDescent="0.3">
      <c r="A295" s="458"/>
      <c r="B295" s="166" t="str">
        <f>+E14</f>
        <v>User Support (Every supported user must be setup in Active Directory (AD) or Entra ID)</v>
      </c>
      <c r="C295" s="36"/>
      <c r="D295" s="1"/>
      <c r="E295" s="1"/>
      <c r="F295" s="1"/>
      <c r="G295" s="1"/>
      <c r="H295" s="1"/>
      <c r="I295" s="1"/>
      <c r="J295" s="1"/>
      <c r="K295" s="1"/>
      <c r="L295" s="131"/>
      <c r="M295" s="296">
        <f>SUM(M16:M21)</f>
        <v>0</v>
      </c>
      <c r="N295" s="313">
        <f>SUM(N16:N21)</f>
        <v>0</v>
      </c>
      <c r="O295" s="313">
        <f>SUM(O16:O21)</f>
        <v>0</v>
      </c>
      <c r="P295" s="313">
        <f>SUM(P16:P21)</f>
        <v>0</v>
      </c>
    </row>
    <row r="296" spans="1:16" ht="15.6" x14ac:dyDescent="0.3">
      <c r="A296" s="458"/>
      <c r="B296" s="167" t="str">
        <f>+E22</f>
        <v>Server Support (Required for all physical and virtual servers)</v>
      </c>
      <c r="C296" s="133"/>
      <c r="D296" s="134"/>
      <c r="E296" s="134"/>
      <c r="F296" s="134"/>
      <c r="G296" s="134"/>
      <c r="H296" s="134"/>
      <c r="I296" s="134"/>
      <c r="J296" s="134"/>
      <c r="K296" s="134"/>
      <c r="L296" s="135"/>
      <c r="M296" s="297">
        <f>SUM(M23:M23)</f>
        <v>0</v>
      </c>
      <c r="N296" s="314">
        <f>SUM(N23:N23)</f>
        <v>0</v>
      </c>
      <c r="O296" s="314">
        <f>SUM(O23:O23)</f>
        <v>0</v>
      </c>
      <c r="P296" s="314">
        <f>SUM(P23:P23)</f>
        <v>0</v>
      </c>
    </row>
    <row r="297" spans="1:16" ht="15.6" x14ac:dyDescent="0.3">
      <c r="A297" s="458"/>
      <c r="B297" s="166" t="str">
        <f>D26</f>
        <v>Disaster Recovery as a Service (DRaaS)</v>
      </c>
      <c r="C297" s="36"/>
      <c r="D297" s="1"/>
      <c r="E297" s="1"/>
      <c r="F297" s="1"/>
      <c r="G297" s="1"/>
      <c r="H297" s="1"/>
      <c r="I297" s="1"/>
      <c r="J297" s="1"/>
      <c r="K297" s="1"/>
      <c r="L297" s="131"/>
      <c r="M297" s="296">
        <f>M26</f>
        <v>0</v>
      </c>
      <c r="N297" s="313">
        <f>N26</f>
        <v>0</v>
      </c>
      <c r="O297" s="313">
        <f>O26</f>
        <v>0</v>
      </c>
      <c r="P297" s="313">
        <f>P26</f>
        <v>0</v>
      </c>
    </row>
    <row r="298" spans="1:16" ht="15.6" x14ac:dyDescent="0.3">
      <c r="A298" s="458"/>
      <c r="B298" s="167" t="s">
        <v>284</v>
      </c>
      <c r="C298" s="133"/>
      <c r="D298" s="134"/>
      <c r="E298" s="134"/>
      <c r="F298" s="134"/>
      <c r="G298" s="134"/>
      <c r="H298" s="134"/>
      <c r="I298" s="134"/>
      <c r="J298" s="134"/>
      <c r="K298" s="134"/>
      <c r="L298" s="135"/>
      <c r="M298" s="297">
        <f>M61</f>
        <v>0</v>
      </c>
      <c r="N298" s="314">
        <f>N61</f>
        <v>0</v>
      </c>
      <c r="O298" s="314">
        <f>O61</f>
        <v>0</v>
      </c>
      <c r="P298" s="314">
        <f>P61</f>
        <v>0</v>
      </c>
    </row>
    <row r="299" spans="1:16" ht="15.6" x14ac:dyDescent="0.3">
      <c r="A299" s="458"/>
      <c r="B299" s="166" t="str">
        <f>D66</f>
        <v>File-Level Cloud Backup Solution</v>
      </c>
      <c r="C299" s="36"/>
      <c r="D299" s="1"/>
      <c r="E299" s="1"/>
      <c r="F299" s="1"/>
      <c r="G299" s="1"/>
      <c r="H299" s="1"/>
      <c r="I299" s="1"/>
      <c r="J299" s="1"/>
      <c r="K299" s="1"/>
      <c r="L299" s="131"/>
      <c r="M299" s="296">
        <f>M66</f>
        <v>0</v>
      </c>
      <c r="N299" s="313">
        <f>N66</f>
        <v>0</v>
      </c>
      <c r="O299" s="313">
        <f>O66</f>
        <v>0</v>
      </c>
      <c r="P299" s="313">
        <f>P66</f>
        <v>0</v>
      </c>
    </row>
    <row r="300" spans="1:16" ht="15.6" x14ac:dyDescent="0.3">
      <c r="A300" s="458"/>
      <c r="B300" s="167" t="str">
        <f>E76</f>
        <v>Named Files Cloud Backup for Desktops and Laptops</v>
      </c>
      <c r="C300" s="133"/>
      <c r="D300" s="134"/>
      <c r="E300" s="134"/>
      <c r="F300" s="134"/>
      <c r="G300" s="134"/>
      <c r="H300" s="134"/>
      <c r="I300" s="134"/>
      <c r="J300" s="134"/>
      <c r="K300" s="134"/>
      <c r="L300" s="135"/>
      <c r="M300" s="297">
        <f>M77</f>
        <v>0</v>
      </c>
      <c r="N300" s="314">
        <f>N77</f>
        <v>0</v>
      </c>
      <c r="O300" s="314">
        <f>O77</f>
        <v>0</v>
      </c>
      <c r="P300" s="314">
        <f>P77</f>
        <v>0</v>
      </c>
    </row>
    <row r="301" spans="1:16" ht="15.6" x14ac:dyDescent="0.3">
      <c r="A301" s="458"/>
      <c r="B301" s="166" t="str">
        <f>+D84</f>
        <v>Unified Threat Management Appliances, Wireless Access Points</v>
      </c>
      <c r="C301" s="36"/>
      <c r="D301" s="1"/>
      <c r="E301" s="1"/>
      <c r="F301" s="1"/>
      <c r="G301" s="1"/>
      <c r="H301" s="1"/>
      <c r="I301" s="1"/>
      <c r="J301" s="1"/>
      <c r="K301" s="1"/>
      <c r="L301" s="131"/>
      <c r="M301" s="296">
        <f>M84</f>
        <v>0</v>
      </c>
      <c r="N301" s="313">
        <f>N84</f>
        <v>0</v>
      </c>
      <c r="O301" s="313">
        <f>O84</f>
        <v>0</v>
      </c>
      <c r="P301" s="313">
        <f>P84</f>
        <v>0</v>
      </c>
    </row>
    <row r="302" spans="1:16" ht="15.6" x14ac:dyDescent="0.3">
      <c r="A302" s="458"/>
      <c r="B302" s="167" t="str">
        <f>+D113</f>
        <v>Additional Unified Threat Management Solutions/Services</v>
      </c>
      <c r="C302" s="133"/>
      <c r="D302" s="134"/>
      <c r="E302" s="134"/>
      <c r="F302" s="134"/>
      <c r="G302" s="134"/>
      <c r="H302" s="134"/>
      <c r="I302" s="134"/>
      <c r="J302" s="134"/>
      <c r="K302" s="134"/>
      <c r="L302" s="135"/>
      <c r="M302" s="297">
        <f>+M113</f>
        <v>0</v>
      </c>
      <c r="N302" s="314">
        <f>+N113</f>
        <v>0</v>
      </c>
      <c r="O302" s="314">
        <f>+O113</f>
        <v>0</v>
      </c>
      <c r="P302" s="314">
        <f>+P113</f>
        <v>0</v>
      </c>
    </row>
    <row r="303" spans="1:16" ht="15.6" x14ac:dyDescent="0.3">
      <c r="A303" s="458"/>
      <c r="B303" s="166" t="s">
        <v>384</v>
      </c>
      <c r="C303" s="36"/>
      <c r="D303" s="1"/>
      <c r="E303" s="1"/>
      <c r="F303" s="1"/>
      <c r="G303" s="1"/>
      <c r="H303" s="1"/>
      <c r="I303" s="1"/>
      <c r="J303" s="1"/>
      <c r="K303" s="1"/>
      <c r="L303" s="131"/>
      <c r="M303" s="296">
        <f>M122</f>
        <v>0</v>
      </c>
      <c r="N303" s="313">
        <f>N122</f>
        <v>0</v>
      </c>
      <c r="O303" s="313">
        <f>O122</f>
        <v>0</v>
      </c>
      <c r="P303" s="313">
        <f>P122</f>
        <v>0</v>
      </c>
    </row>
    <row r="304" spans="1:16" ht="15.6" x14ac:dyDescent="0.3">
      <c r="A304" s="458"/>
      <c r="B304" s="167" t="s">
        <v>468</v>
      </c>
      <c r="C304" s="133"/>
      <c r="D304" s="134"/>
      <c r="E304" s="134"/>
      <c r="F304" s="134"/>
      <c r="G304" s="134"/>
      <c r="H304" s="134"/>
      <c r="I304" s="134"/>
      <c r="J304" s="134"/>
      <c r="K304" s="134"/>
      <c r="L304" s="135"/>
      <c r="M304" s="297">
        <f>M130</f>
        <v>0</v>
      </c>
      <c r="N304" s="314">
        <f>N130</f>
        <v>0</v>
      </c>
      <c r="O304" s="314">
        <f>O130</f>
        <v>0</v>
      </c>
      <c r="P304" s="314">
        <f>P130</f>
        <v>0</v>
      </c>
    </row>
    <row r="305" spans="1:16" ht="15.6" x14ac:dyDescent="0.3">
      <c r="A305" s="458"/>
      <c r="B305" s="166" t="str">
        <f>D176</f>
        <v>Additional Email Solutions/Services</v>
      </c>
      <c r="C305" s="36"/>
      <c r="D305" s="1"/>
      <c r="E305" s="1"/>
      <c r="F305" s="1"/>
      <c r="G305" s="1"/>
      <c r="H305" s="1"/>
      <c r="I305" s="1"/>
      <c r="J305" s="1"/>
      <c r="K305" s="1"/>
      <c r="L305" s="131"/>
      <c r="M305" s="296">
        <f>M176</f>
        <v>0</v>
      </c>
      <c r="N305" s="313">
        <f>N176</f>
        <v>0</v>
      </c>
      <c r="O305" s="313">
        <f>O176</f>
        <v>0</v>
      </c>
      <c r="P305" s="313">
        <f>P176</f>
        <v>0</v>
      </c>
    </row>
    <row r="306" spans="1:16" ht="15.6" x14ac:dyDescent="0.3">
      <c r="A306" s="458"/>
      <c r="B306" s="167" t="s">
        <v>414</v>
      </c>
      <c r="C306" s="133"/>
      <c r="D306" s="134"/>
      <c r="E306" s="134"/>
      <c r="F306" s="134"/>
      <c r="G306" s="134"/>
      <c r="H306" s="134"/>
      <c r="I306" s="134"/>
      <c r="J306" s="134"/>
      <c r="K306" s="134"/>
      <c r="L306" s="135"/>
      <c r="M306" s="297">
        <f>M201</f>
        <v>0</v>
      </c>
      <c r="N306" s="314">
        <f>N201</f>
        <v>0</v>
      </c>
      <c r="O306" s="314">
        <f>O201</f>
        <v>0</v>
      </c>
      <c r="P306" s="314">
        <f>P201</f>
        <v>0</v>
      </c>
    </row>
    <row r="307" spans="1:16" ht="15.6" x14ac:dyDescent="0.3">
      <c r="A307" s="458"/>
      <c r="B307" s="166" t="s">
        <v>419</v>
      </c>
      <c r="C307" s="36"/>
      <c r="D307" s="1"/>
      <c r="E307" s="1"/>
      <c r="F307" s="1"/>
      <c r="G307" s="1"/>
      <c r="H307" s="1"/>
      <c r="I307" s="1"/>
      <c r="J307" s="1"/>
      <c r="K307" s="1"/>
      <c r="L307" s="131"/>
      <c r="M307" s="296">
        <f>M204</f>
        <v>0</v>
      </c>
      <c r="N307" s="313">
        <f>N204</f>
        <v>0</v>
      </c>
      <c r="O307" s="313">
        <f>O204</f>
        <v>0</v>
      </c>
      <c r="P307" s="313">
        <f>P204</f>
        <v>0</v>
      </c>
    </row>
    <row r="308" spans="1:16" ht="15.6" x14ac:dyDescent="0.3">
      <c r="A308" s="458"/>
      <c r="B308" s="167" t="str">
        <f>D213</f>
        <v>Duo MFA</v>
      </c>
      <c r="C308" s="133"/>
      <c r="D308" s="134"/>
      <c r="E308" s="134"/>
      <c r="F308" s="134"/>
      <c r="G308" s="134"/>
      <c r="H308" s="134"/>
      <c r="I308" s="134"/>
      <c r="J308" s="134"/>
      <c r="K308" s="134"/>
      <c r="L308" s="135"/>
      <c r="M308" s="297">
        <f>M213</f>
        <v>0</v>
      </c>
      <c r="N308" s="314">
        <f>N213</f>
        <v>0</v>
      </c>
      <c r="O308" s="314">
        <f>O213</f>
        <v>0</v>
      </c>
      <c r="P308" s="314">
        <f>P213</f>
        <v>0</v>
      </c>
    </row>
    <row r="309" spans="1:16" ht="15.6" x14ac:dyDescent="0.3">
      <c r="A309" s="458"/>
      <c r="B309" s="166" t="s">
        <v>449</v>
      </c>
      <c r="C309" s="36"/>
      <c r="D309" s="1"/>
      <c r="E309" s="1"/>
      <c r="F309" s="1"/>
      <c r="G309" s="1"/>
      <c r="H309" s="1"/>
      <c r="I309" s="1"/>
      <c r="J309" s="1"/>
      <c r="K309" s="1"/>
      <c r="L309" s="131"/>
      <c r="M309" s="313">
        <f t="shared" ref="M309:O309" si="25">M228</f>
        <v>0</v>
      </c>
      <c r="N309" s="313">
        <f t="shared" si="25"/>
        <v>0</v>
      </c>
      <c r="O309" s="313">
        <f t="shared" si="25"/>
        <v>0</v>
      </c>
      <c r="P309" s="313">
        <f>P228</f>
        <v>0</v>
      </c>
    </row>
    <row r="310" spans="1:16" ht="15.6" x14ac:dyDescent="0.3">
      <c r="A310" s="458"/>
      <c r="B310" s="167" t="s">
        <v>455</v>
      </c>
      <c r="C310" s="133"/>
      <c r="D310" s="134"/>
      <c r="E310" s="134"/>
      <c r="F310" s="134"/>
      <c r="G310" s="134"/>
      <c r="H310" s="134"/>
      <c r="I310" s="134"/>
      <c r="J310" s="134"/>
      <c r="K310" s="134"/>
      <c r="L310" s="135"/>
      <c r="M310" s="297">
        <f>M197</f>
        <v>0</v>
      </c>
      <c r="N310" s="314">
        <f>N197</f>
        <v>0</v>
      </c>
      <c r="O310" s="314">
        <f>O197</f>
        <v>0</v>
      </c>
      <c r="P310" s="314">
        <f>P233</f>
        <v>0</v>
      </c>
    </row>
    <row r="311" spans="1:16" ht="15.6" x14ac:dyDescent="0.3">
      <c r="A311" s="458"/>
      <c r="B311" s="166" t="s">
        <v>461</v>
      </c>
      <c r="C311" s="36"/>
      <c r="D311" s="1"/>
      <c r="E311" s="1"/>
      <c r="F311" s="1"/>
      <c r="G311" s="1"/>
      <c r="H311" s="1"/>
      <c r="I311" s="1"/>
      <c r="J311" s="1"/>
      <c r="K311" s="1"/>
      <c r="L311" s="131"/>
      <c r="M311" s="296">
        <f>M213</f>
        <v>0</v>
      </c>
      <c r="N311" s="313">
        <f>N213</f>
        <v>0</v>
      </c>
      <c r="O311" s="313">
        <f>O213</f>
        <v>0</v>
      </c>
      <c r="P311" s="313">
        <f>P237</f>
        <v>0</v>
      </c>
    </row>
    <row r="312" spans="1:16" ht="15.6" x14ac:dyDescent="0.3">
      <c r="A312" s="458"/>
      <c r="B312" s="167" t="str">
        <f>D241</f>
        <v>FortiSwitch</v>
      </c>
      <c r="C312" s="133"/>
      <c r="D312" s="134"/>
      <c r="E312" s="134"/>
      <c r="F312" s="134"/>
      <c r="G312" s="134"/>
      <c r="H312" s="134"/>
      <c r="I312" s="134"/>
      <c r="J312" s="134"/>
      <c r="K312" s="134"/>
      <c r="L312" s="135"/>
      <c r="M312" s="297">
        <f>M241</f>
        <v>0</v>
      </c>
      <c r="N312" s="314">
        <f t="shared" ref="N312:P312" si="26">N241</f>
        <v>0</v>
      </c>
      <c r="O312" s="314">
        <f t="shared" ref="O312" si="27">O241</f>
        <v>0</v>
      </c>
      <c r="P312" s="314">
        <f t="shared" si="26"/>
        <v>0</v>
      </c>
    </row>
    <row r="313" spans="1:16" ht="15.6" x14ac:dyDescent="0.3">
      <c r="A313" s="458"/>
      <c r="B313" s="166" t="str">
        <f>+D286</f>
        <v>Other Fees</v>
      </c>
      <c r="C313" s="36"/>
      <c r="D313" s="1"/>
      <c r="E313" s="1"/>
      <c r="F313" s="1"/>
      <c r="G313" s="1"/>
      <c r="H313" s="1"/>
      <c r="I313" s="1"/>
      <c r="J313" s="1"/>
      <c r="K313" s="1"/>
      <c r="L313" s="131"/>
      <c r="M313" s="296">
        <f>+M286</f>
        <v>0</v>
      </c>
      <c r="N313" s="313">
        <f>+N286</f>
        <v>0</v>
      </c>
      <c r="O313" s="313">
        <f>+O286</f>
        <v>0</v>
      </c>
      <c r="P313" s="313">
        <f>+P286</f>
        <v>0</v>
      </c>
    </row>
    <row r="314" spans="1:16" ht="16.2" thickBot="1" x14ac:dyDescent="0.35">
      <c r="A314" s="458"/>
      <c r="B314" s="224" t="s">
        <v>264</v>
      </c>
      <c r="C314" s="225"/>
      <c r="D314" s="226"/>
      <c r="E314" s="226"/>
      <c r="F314" s="227"/>
      <c r="G314" s="227"/>
      <c r="H314" s="228"/>
      <c r="I314" s="228"/>
      <c r="J314" s="226"/>
      <c r="K314" s="226"/>
      <c r="L314" s="229"/>
      <c r="M314" s="298">
        <f>IFERROR(SUM(M295:M313),"Contact Sales")</f>
        <v>0</v>
      </c>
      <c r="N314" s="315">
        <f>IFERROR(SUM(N295:N313),"Contact Sales")</f>
        <v>0</v>
      </c>
      <c r="O314" s="315">
        <f>IFERROR(SUM(O295:O313),"Contact Sales")</f>
        <v>0</v>
      </c>
      <c r="P314" s="315">
        <f>IFERROR(SUM(P295:P313),"Contact Sales")</f>
        <v>0</v>
      </c>
    </row>
    <row r="315" spans="1:16" ht="16.2" thickTop="1" x14ac:dyDescent="0.3">
      <c r="A315" s="458"/>
      <c r="B315" s="210" t="s">
        <v>267</v>
      </c>
      <c r="C315" s="36"/>
      <c r="D315" s="1"/>
      <c r="E315" s="1"/>
      <c r="F315" s="1"/>
      <c r="G315" s="1"/>
      <c r="H315" s="1"/>
      <c r="I315" s="1"/>
      <c r="J315" s="1"/>
      <c r="K315" s="1"/>
      <c r="L315" s="131"/>
      <c r="M315" s="132"/>
      <c r="N315" s="132"/>
      <c r="P315" s="213">
        <f>IF(OR(F10=Lookups!B41,F10=Lookups!B42),0,IF(P314=0,0,IF(P314&lt;250,250-P314,0)))</f>
        <v>0</v>
      </c>
    </row>
    <row r="316" spans="1:16" x14ac:dyDescent="0.3">
      <c r="A316" s="458"/>
      <c r="C316" s="36"/>
      <c r="D316" s="1"/>
      <c r="E316" s="1"/>
      <c r="I316" s="39"/>
      <c r="J316" s="39"/>
      <c r="K316" s="39"/>
      <c r="M316"/>
      <c r="N316"/>
      <c r="P316" s="233" t="str">
        <f>IF(P315&gt;0,"MRR minimum of $250 for new subscriber orders is required","")</f>
        <v/>
      </c>
    </row>
    <row r="317" spans="1:16" ht="18" x14ac:dyDescent="0.35">
      <c r="A317" s="458"/>
      <c r="B317" s="164" t="s">
        <v>268</v>
      </c>
      <c r="I317" s="39"/>
      <c r="J317" s="39"/>
      <c r="K317" s="39"/>
      <c r="M317"/>
      <c r="N317"/>
    </row>
    <row r="318" spans="1:16" ht="15.6" x14ac:dyDescent="0.3">
      <c r="A318" s="458"/>
      <c r="C318" s="251" t="str">
        <f>IF(Lookups!D27&gt;0,"Datto - 12 Month Service Commit","")</f>
        <v/>
      </c>
      <c r="D318" s="340"/>
      <c r="I318" s="39"/>
      <c r="J318" s="39"/>
      <c r="K318" s="39"/>
      <c r="M318"/>
      <c r="N318"/>
    </row>
    <row r="319" spans="1:16" ht="15.6" x14ac:dyDescent="0.3">
      <c r="A319" s="458"/>
      <c r="C319" s="251" t="str">
        <f>IF(Lookups!E27&gt;0,"Datto - 36 Month Service Commit","")</f>
        <v/>
      </c>
      <c r="H319" s="97"/>
      <c r="I319" s="39"/>
      <c r="J319" s="39"/>
      <c r="K319" s="39"/>
      <c r="M319"/>
      <c r="N319"/>
    </row>
    <row r="320" spans="1:16" ht="15.6" x14ac:dyDescent="0.3">
      <c r="A320" s="458"/>
      <c r="C320" s="251"/>
      <c r="H320" s="97"/>
      <c r="I320" s="39"/>
      <c r="J320" s="39"/>
      <c r="K320" s="39"/>
      <c r="M320"/>
      <c r="N320"/>
      <c r="P320"/>
    </row>
    <row r="321" spans="1:16" ht="15.6" x14ac:dyDescent="0.3">
      <c r="A321" s="458"/>
      <c r="C321" s="251" t="str">
        <f>IF($P$312&gt;0,"FortiSwitch(s) - 18 month term","")</f>
        <v/>
      </c>
      <c r="H321" s="97"/>
      <c r="I321" s="39"/>
      <c r="J321" s="39"/>
      <c r="K321" s="39"/>
      <c r="M321"/>
      <c r="N321"/>
      <c r="P321"/>
    </row>
    <row r="322" spans="1:16" ht="15.6" x14ac:dyDescent="0.3">
      <c r="A322" s="458"/>
      <c r="C322" s="251"/>
      <c r="H322" s="97"/>
      <c r="I322" s="39"/>
      <c r="J322" s="39"/>
      <c r="K322" s="39"/>
      <c r="M322"/>
      <c r="N322"/>
      <c r="P322"/>
    </row>
    <row r="323" spans="1:16" ht="15.6" x14ac:dyDescent="0.3">
      <c r="A323" s="458"/>
      <c r="C323" s="251"/>
      <c r="H323" s="97"/>
      <c r="I323" s="39"/>
      <c r="J323" s="39"/>
      <c r="K323" s="39"/>
      <c r="M323"/>
      <c r="N323"/>
      <c r="P323"/>
    </row>
    <row r="324" spans="1:16" ht="15.6" x14ac:dyDescent="0.3">
      <c r="A324" s="458"/>
      <c r="C324" s="251" t="str">
        <f>IF(B77&gt;0,"Named Files Cloud Backup is selected -- Please note the customer's preferences for whether they want all laptops and/or all desktops, as noted below","")</f>
        <v/>
      </c>
      <c r="H324" s="97"/>
      <c r="I324" s="39"/>
      <c r="J324" s="39"/>
      <c r="K324" s="39"/>
      <c r="M324"/>
      <c r="N324"/>
      <c r="P324"/>
    </row>
    <row r="325" spans="1:16" ht="15.6" x14ac:dyDescent="0.3">
      <c r="A325" s="458"/>
      <c r="C325" s="251" t="str">
        <f>IF(B77=0,"",CONCATENATE("All Laptops: ",B78))</f>
        <v/>
      </c>
      <c r="H325" s="97"/>
      <c r="I325" s="39"/>
      <c r="J325" s="39"/>
      <c r="K325" s="39"/>
      <c r="M325"/>
      <c r="N325"/>
      <c r="P325"/>
    </row>
    <row r="326" spans="1:16" ht="15.6" x14ac:dyDescent="0.3">
      <c r="A326" s="458"/>
      <c r="C326" s="251" t="str">
        <f>IF(B77=0,"",CONCATENATE("All Desktops: ",B79))</f>
        <v/>
      </c>
      <c r="H326" s="97"/>
      <c r="I326" s="39"/>
      <c r="J326" s="39"/>
      <c r="K326" s="39"/>
      <c r="M326"/>
      <c r="N326"/>
      <c r="P326"/>
    </row>
    <row r="327" spans="1:16" x14ac:dyDescent="0.3">
      <c r="A327" s="458"/>
      <c r="C327" s="235"/>
      <c r="H327" s="97"/>
      <c r="I327" s="39"/>
      <c r="J327" s="39"/>
      <c r="K327" s="39"/>
      <c r="M327"/>
      <c r="N327"/>
      <c r="P327"/>
    </row>
    <row r="328" spans="1:16" x14ac:dyDescent="0.3">
      <c r="A328" s="458"/>
      <c r="C328" s="196"/>
      <c r="H328" s="97"/>
      <c r="I328" s="39"/>
      <c r="J328" s="39"/>
      <c r="K328" s="39"/>
      <c r="M328"/>
      <c r="N328"/>
      <c r="P328"/>
    </row>
    <row r="329" spans="1:16" ht="18.600000000000001" thickBot="1" x14ac:dyDescent="0.4">
      <c r="A329" s="458"/>
      <c r="B329" s="164" t="s">
        <v>269</v>
      </c>
      <c r="C329" s="89"/>
      <c r="L329"/>
      <c r="M329"/>
      <c r="N329"/>
      <c r="P329"/>
    </row>
    <row r="330" spans="1:16" x14ac:dyDescent="0.3">
      <c r="A330" s="458"/>
      <c r="B330" s="459"/>
      <c r="C330" s="460"/>
      <c r="D330" s="460"/>
      <c r="E330" s="460"/>
      <c r="F330" s="460"/>
      <c r="G330" s="460"/>
      <c r="H330" s="461"/>
      <c r="I330" s="39"/>
      <c r="J330" s="39"/>
      <c r="K330" s="39"/>
      <c r="L330"/>
      <c r="M330"/>
      <c r="N330"/>
      <c r="P330"/>
    </row>
    <row r="331" spans="1:16" x14ac:dyDescent="0.3">
      <c r="A331" s="458"/>
      <c r="B331" s="462"/>
      <c r="C331" s="463"/>
      <c r="D331" s="463"/>
      <c r="E331" s="463"/>
      <c r="F331" s="463"/>
      <c r="G331" s="463"/>
      <c r="H331" s="464"/>
      <c r="I331" s="39"/>
      <c r="J331" s="39"/>
      <c r="K331" s="39"/>
      <c r="L331"/>
      <c r="M331"/>
      <c r="N331"/>
      <c r="P331"/>
    </row>
    <row r="332" spans="1:16" x14ac:dyDescent="0.3">
      <c r="A332" s="458"/>
      <c r="B332" s="462"/>
      <c r="C332" s="463"/>
      <c r="D332" s="463"/>
      <c r="E332" s="463"/>
      <c r="F332" s="463"/>
      <c r="G332" s="463"/>
      <c r="H332" s="464"/>
      <c r="I332" s="39"/>
      <c r="J332" s="39"/>
      <c r="K332" s="39"/>
      <c r="L332"/>
      <c r="M332"/>
      <c r="N332"/>
      <c r="P332"/>
    </row>
    <row r="333" spans="1:16" x14ac:dyDescent="0.3">
      <c r="A333" s="458"/>
      <c r="B333" s="462"/>
      <c r="C333" s="463"/>
      <c r="D333" s="463"/>
      <c r="E333" s="463"/>
      <c r="F333" s="463"/>
      <c r="G333" s="463"/>
      <c r="H333" s="464"/>
      <c r="I333" s="39"/>
      <c r="J333" s="39"/>
      <c r="K333" s="39"/>
      <c r="L333"/>
      <c r="M333"/>
      <c r="N333"/>
      <c r="P333"/>
    </row>
    <row r="334" spans="1:16" ht="15" thickBot="1" x14ac:dyDescent="0.35">
      <c r="A334" s="458"/>
      <c r="B334" s="465"/>
      <c r="C334" s="466"/>
      <c r="D334" s="466"/>
      <c r="E334" s="466"/>
      <c r="F334" s="466"/>
      <c r="G334" s="466"/>
      <c r="H334" s="467"/>
      <c r="I334" s="39"/>
      <c r="J334" s="39"/>
      <c r="K334" s="39"/>
      <c r="L334"/>
      <c r="M334"/>
      <c r="N334"/>
      <c r="P334"/>
    </row>
    <row r="335" spans="1:16" x14ac:dyDescent="0.3">
      <c r="A335" s="458"/>
      <c r="I335" s="39"/>
      <c r="J335" s="39"/>
      <c r="K335" s="39"/>
      <c r="M335"/>
      <c r="N335"/>
      <c r="P335"/>
    </row>
    <row r="336" spans="1:16" x14ac:dyDescent="0.3">
      <c r="I336" s="39"/>
      <c r="J336" s="39"/>
      <c r="K336" s="39"/>
      <c r="M336"/>
      <c r="N336"/>
      <c r="P336"/>
    </row>
    <row r="337" spans="9:16" x14ac:dyDescent="0.3">
      <c r="I337" s="39"/>
      <c r="J337" s="39"/>
      <c r="K337" s="39"/>
      <c r="M337"/>
      <c r="N337"/>
      <c r="P337"/>
    </row>
    <row r="338" spans="9:16" x14ac:dyDescent="0.3">
      <c r="I338" s="39"/>
      <c r="J338" s="39"/>
      <c r="K338" s="39"/>
      <c r="M338"/>
      <c r="N338"/>
      <c r="P338"/>
    </row>
    <row r="339" spans="9:16" x14ac:dyDescent="0.3">
      <c r="I339" s="39"/>
      <c r="J339" s="39"/>
      <c r="K339" s="39"/>
      <c r="M339"/>
      <c r="N339"/>
      <c r="P339"/>
    </row>
    <row r="340" spans="9:16" x14ac:dyDescent="0.3">
      <c r="I340" s="39"/>
      <c r="J340" s="39"/>
      <c r="K340" s="39"/>
      <c r="M340"/>
      <c r="N340"/>
      <c r="P340"/>
    </row>
    <row r="341" spans="9:16" x14ac:dyDescent="0.3">
      <c r="I341" s="39"/>
      <c r="J341" s="39"/>
      <c r="K341" s="39"/>
      <c r="M341"/>
      <c r="N341"/>
      <c r="P341"/>
    </row>
    <row r="342" spans="9:16" x14ac:dyDescent="0.3">
      <c r="I342" s="39"/>
      <c r="J342" s="39"/>
      <c r="K342" s="39"/>
      <c r="M342"/>
      <c r="N342"/>
      <c r="P342"/>
    </row>
    <row r="343" spans="9:16" x14ac:dyDescent="0.3">
      <c r="I343" s="39"/>
      <c r="J343" s="39"/>
      <c r="K343" s="39"/>
      <c r="M343"/>
      <c r="N343"/>
      <c r="P343"/>
    </row>
    <row r="344" spans="9:16" x14ac:dyDescent="0.3">
      <c r="I344" s="39"/>
      <c r="J344" s="39"/>
      <c r="K344" s="39"/>
      <c r="M344"/>
      <c r="N344"/>
      <c r="P344"/>
    </row>
    <row r="345" spans="9:16" x14ac:dyDescent="0.3">
      <c r="I345" s="39"/>
      <c r="J345" s="39"/>
      <c r="K345" s="39"/>
      <c r="M345"/>
      <c r="N345"/>
      <c r="P345"/>
    </row>
    <row r="346" spans="9:16" x14ac:dyDescent="0.3">
      <c r="I346" s="39"/>
      <c r="J346" s="39"/>
      <c r="K346" s="39"/>
      <c r="M346"/>
      <c r="N346"/>
      <c r="P346"/>
    </row>
    <row r="347" spans="9:16" x14ac:dyDescent="0.3">
      <c r="I347" s="39"/>
      <c r="J347" s="39"/>
      <c r="K347" s="39"/>
      <c r="M347"/>
      <c r="N347"/>
      <c r="P347"/>
    </row>
    <row r="348" spans="9:16" x14ac:dyDescent="0.3">
      <c r="I348" s="39"/>
      <c r="J348" s="39"/>
      <c r="K348" s="39"/>
      <c r="M348"/>
      <c r="N348"/>
      <c r="P348"/>
    </row>
    <row r="349" spans="9:16" x14ac:dyDescent="0.3">
      <c r="I349" s="39"/>
      <c r="J349" s="39"/>
      <c r="K349" s="39"/>
      <c r="M349"/>
      <c r="N349"/>
      <c r="P349"/>
    </row>
    <row r="350" spans="9:16" x14ac:dyDescent="0.3">
      <c r="I350" s="39"/>
      <c r="J350" s="39"/>
      <c r="K350" s="39"/>
      <c r="M350"/>
      <c r="N350"/>
      <c r="P350"/>
    </row>
    <row r="351" spans="9:16" x14ac:dyDescent="0.3">
      <c r="I351" s="39"/>
      <c r="J351" s="39"/>
      <c r="K351" s="39"/>
      <c r="M351"/>
      <c r="N351"/>
      <c r="P351"/>
    </row>
    <row r="352" spans="9:16" x14ac:dyDescent="0.3">
      <c r="I352" s="39"/>
      <c r="J352" s="39"/>
      <c r="K352" s="39"/>
      <c r="M352"/>
      <c r="N352"/>
      <c r="P352"/>
    </row>
    <row r="353" spans="9:16" x14ac:dyDescent="0.3">
      <c r="I353" s="39"/>
      <c r="J353" s="39"/>
      <c r="K353" s="39"/>
      <c r="M353"/>
      <c r="N353"/>
      <c r="P353"/>
    </row>
    <row r="354" spans="9:16" x14ac:dyDescent="0.3">
      <c r="I354" s="39"/>
      <c r="J354" s="39"/>
      <c r="K354" s="39"/>
      <c r="M354"/>
      <c r="N354"/>
      <c r="P354"/>
    </row>
    <row r="355" spans="9:16" x14ac:dyDescent="0.3">
      <c r="I355" s="39"/>
      <c r="J355" s="39"/>
      <c r="K355" s="39"/>
      <c r="M355"/>
      <c r="N355"/>
      <c r="P355"/>
    </row>
    <row r="356" spans="9:16" x14ac:dyDescent="0.3">
      <c r="I356" s="39"/>
      <c r="J356" s="39"/>
      <c r="K356" s="39"/>
      <c r="M356"/>
      <c r="N356"/>
      <c r="P356"/>
    </row>
    <row r="357" spans="9:16" x14ac:dyDescent="0.3">
      <c r="I357" s="39"/>
      <c r="J357" s="39"/>
      <c r="K357" s="39"/>
      <c r="M357"/>
      <c r="N357"/>
      <c r="P357"/>
    </row>
    <row r="358" spans="9:16" x14ac:dyDescent="0.3">
      <c r="I358" s="39"/>
      <c r="J358" s="39"/>
      <c r="K358" s="39"/>
      <c r="M358"/>
      <c r="N358"/>
      <c r="P358"/>
    </row>
    <row r="359" spans="9:16" x14ac:dyDescent="0.3">
      <c r="I359" s="39"/>
      <c r="J359" s="39"/>
      <c r="K359" s="39"/>
      <c r="M359"/>
      <c r="N359"/>
      <c r="P359"/>
    </row>
    <row r="360" spans="9:16" x14ac:dyDescent="0.3">
      <c r="I360" s="39"/>
      <c r="J360" s="39"/>
      <c r="K360" s="39"/>
      <c r="M360"/>
      <c r="N360"/>
      <c r="P360"/>
    </row>
    <row r="361" spans="9:16" x14ac:dyDescent="0.3">
      <c r="I361" s="39"/>
      <c r="J361" s="39"/>
      <c r="K361" s="39"/>
      <c r="M361"/>
      <c r="N361"/>
      <c r="P361"/>
    </row>
    <row r="362" spans="9:16" x14ac:dyDescent="0.3">
      <c r="I362" s="39"/>
      <c r="J362" s="39"/>
      <c r="K362" s="39"/>
      <c r="M362"/>
      <c r="N362"/>
      <c r="P362"/>
    </row>
    <row r="363" spans="9:16" x14ac:dyDescent="0.3">
      <c r="I363" s="39"/>
      <c r="J363" s="39"/>
      <c r="K363" s="39"/>
      <c r="M363"/>
      <c r="N363"/>
      <c r="P363"/>
    </row>
    <row r="364" spans="9:16" x14ac:dyDescent="0.3">
      <c r="I364" s="39"/>
      <c r="J364" s="39"/>
      <c r="K364" s="39"/>
      <c r="M364"/>
      <c r="N364"/>
      <c r="P364"/>
    </row>
    <row r="365" spans="9:16" x14ac:dyDescent="0.3">
      <c r="I365" s="39"/>
      <c r="J365" s="39"/>
      <c r="K365" s="39"/>
      <c r="M365"/>
      <c r="N365"/>
      <c r="P365"/>
    </row>
    <row r="366" spans="9:16" x14ac:dyDescent="0.3">
      <c r="I366" s="39"/>
      <c r="J366" s="39"/>
      <c r="K366" s="39"/>
      <c r="M366"/>
      <c r="N366"/>
      <c r="P366"/>
    </row>
    <row r="367" spans="9:16" x14ac:dyDescent="0.3">
      <c r="I367" s="39"/>
      <c r="J367" s="39"/>
      <c r="K367" s="39"/>
      <c r="M367"/>
      <c r="N367"/>
      <c r="P367"/>
    </row>
    <row r="368" spans="9:16" x14ac:dyDescent="0.3">
      <c r="I368" s="39"/>
      <c r="J368" s="39"/>
      <c r="K368" s="39"/>
      <c r="M368"/>
      <c r="N368"/>
      <c r="P368"/>
    </row>
    <row r="369" spans="9:16" x14ac:dyDescent="0.3">
      <c r="I369" s="39"/>
      <c r="J369" s="39"/>
      <c r="K369" s="39"/>
      <c r="M369"/>
      <c r="N369"/>
      <c r="P369"/>
    </row>
    <row r="370" spans="9:16" x14ac:dyDescent="0.3">
      <c r="I370" s="39"/>
      <c r="J370" s="39"/>
      <c r="K370" s="39"/>
      <c r="M370"/>
      <c r="N370"/>
      <c r="P370"/>
    </row>
    <row r="371" spans="9:16" x14ac:dyDescent="0.3">
      <c r="I371" s="39"/>
      <c r="J371" s="39"/>
      <c r="K371" s="39"/>
      <c r="M371"/>
      <c r="N371"/>
      <c r="P371"/>
    </row>
    <row r="372" spans="9:16" x14ac:dyDescent="0.3">
      <c r="I372" s="39"/>
      <c r="J372" s="39"/>
      <c r="K372" s="39"/>
      <c r="M372"/>
      <c r="N372"/>
    </row>
    <row r="373" spans="9:16" x14ac:dyDescent="0.3">
      <c r="I373" s="39"/>
      <c r="J373" s="39"/>
      <c r="K373" s="39"/>
      <c r="M373"/>
      <c r="N373"/>
    </row>
    <row r="374" spans="9:16" x14ac:dyDescent="0.3">
      <c r="I374" s="39"/>
      <c r="J374" s="39"/>
      <c r="K374" s="39"/>
      <c r="M374"/>
      <c r="N374"/>
    </row>
    <row r="375" spans="9:16" x14ac:dyDescent="0.3">
      <c r="I375" s="39"/>
      <c r="J375" s="39"/>
      <c r="K375" s="39"/>
      <c r="M375"/>
      <c r="N375"/>
    </row>
    <row r="376" spans="9:16" x14ac:dyDescent="0.3">
      <c r="I376" s="39"/>
      <c r="J376" s="39"/>
      <c r="K376" s="39"/>
      <c r="M376"/>
      <c r="N376"/>
    </row>
    <row r="377" spans="9:16" x14ac:dyDescent="0.3">
      <c r="I377" s="39"/>
      <c r="J377" s="39"/>
      <c r="K377" s="39"/>
      <c r="M377"/>
      <c r="N377"/>
    </row>
    <row r="378" spans="9:16" x14ac:dyDescent="0.3">
      <c r="I378" s="39"/>
      <c r="J378" s="39"/>
      <c r="K378" s="39"/>
      <c r="M378"/>
      <c r="N378"/>
    </row>
    <row r="379" spans="9:16" x14ac:dyDescent="0.3">
      <c r="I379" s="39"/>
      <c r="J379" s="39"/>
      <c r="K379" s="39"/>
      <c r="M379"/>
      <c r="N379"/>
    </row>
    <row r="380" spans="9:16" x14ac:dyDescent="0.3">
      <c r="I380" s="39"/>
      <c r="J380" s="39"/>
      <c r="K380" s="39"/>
      <c r="M380"/>
      <c r="N380"/>
    </row>
    <row r="381" spans="9:16" x14ac:dyDescent="0.3">
      <c r="I381" s="39"/>
      <c r="J381" s="39"/>
      <c r="K381" s="39"/>
      <c r="M381"/>
      <c r="N381"/>
    </row>
    <row r="382" spans="9:16" x14ac:dyDescent="0.3">
      <c r="I382" s="39"/>
      <c r="J382" s="39"/>
      <c r="K382" s="39"/>
      <c r="M382"/>
      <c r="N382"/>
    </row>
    <row r="383" spans="9:16" x14ac:dyDescent="0.3">
      <c r="I383" s="39"/>
      <c r="J383" s="39"/>
      <c r="K383" s="39"/>
      <c r="M383"/>
      <c r="N383"/>
    </row>
    <row r="384" spans="9:16" x14ac:dyDescent="0.3">
      <c r="I384" s="39"/>
      <c r="J384" s="39"/>
      <c r="K384" s="39"/>
      <c r="M384"/>
      <c r="N384"/>
    </row>
    <row r="385" spans="1:14" x14ac:dyDescent="0.3">
      <c r="I385" s="39"/>
      <c r="J385" s="39"/>
      <c r="K385" s="39"/>
      <c r="M385"/>
      <c r="N385"/>
    </row>
    <row r="386" spans="1:14" x14ac:dyDescent="0.3">
      <c r="I386" s="39"/>
      <c r="J386" s="39"/>
      <c r="K386" s="39"/>
      <c r="M386"/>
      <c r="N386"/>
    </row>
    <row r="387" spans="1:14" x14ac:dyDescent="0.3">
      <c r="I387" s="39"/>
      <c r="J387" s="39"/>
      <c r="K387" s="39"/>
      <c r="M387"/>
      <c r="N387"/>
    </row>
    <row r="388" spans="1:14" x14ac:dyDescent="0.3">
      <c r="I388" s="39"/>
      <c r="J388" s="39"/>
      <c r="K388" s="39"/>
      <c r="M388"/>
      <c r="N388"/>
    </row>
    <row r="389" spans="1:14" x14ac:dyDescent="0.3">
      <c r="I389" s="39"/>
      <c r="J389" s="39"/>
      <c r="K389" s="39"/>
      <c r="M389"/>
      <c r="N389"/>
    </row>
    <row r="390" spans="1:14" x14ac:dyDescent="0.3">
      <c r="I390" s="39"/>
      <c r="J390" s="39"/>
      <c r="K390" s="39"/>
      <c r="M390"/>
      <c r="N390"/>
    </row>
    <row r="391" spans="1:14" x14ac:dyDescent="0.3">
      <c r="I391" s="39"/>
      <c r="J391" s="39"/>
      <c r="K391" s="39"/>
      <c r="M391"/>
      <c r="N391"/>
    </row>
    <row r="392" spans="1:14" x14ac:dyDescent="0.3">
      <c r="I392" s="39"/>
      <c r="J392" s="39"/>
      <c r="K392" s="39"/>
      <c r="M392"/>
      <c r="N392"/>
    </row>
    <row r="393" spans="1:14" x14ac:dyDescent="0.3">
      <c r="I393" s="39"/>
      <c r="J393" s="39"/>
      <c r="K393" s="39"/>
      <c r="M393"/>
      <c r="N393"/>
    </row>
    <row r="394" spans="1:14" x14ac:dyDescent="0.3">
      <c r="I394" s="39"/>
      <c r="J394" s="39"/>
      <c r="K394" s="39"/>
      <c r="M394"/>
      <c r="N394"/>
    </row>
    <row r="395" spans="1:14" x14ac:dyDescent="0.3">
      <c r="I395" s="39"/>
      <c r="J395" s="39"/>
      <c r="K395" s="39"/>
      <c r="M395"/>
      <c r="N395"/>
    </row>
    <row r="396" spans="1:14" x14ac:dyDescent="0.3">
      <c r="I396" s="39"/>
      <c r="J396" s="39"/>
      <c r="K396" s="39"/>
      <c r="M396"/>
      <c r="N396"/>
    </row>
    <row r="397" spans="1:14" x14ac:dyDescent="0.3">
      <c r="I397" s="39"/>
      <c r="J397" s="39"/>
      <c r="K397" s="39"/>
      <c r="M397"/>
      <c r="N397"/>
    </row>
    <row r="398" spans="1:14" x14ac:dyDescent="0.3">
      <c r="I398" s="39"/>
      <c r="J398" s="39"/>
      <c r="K398" s="39"/>
      <c r="M398"/>
      <c r="N398"/>
    </row>
    <row r="399" spans="1:14" ht="15.6" x14ac:dyDescent="0.3">
      <c r="A399" s="168"/>
      <c r="I399" s="39"/>
      <c r="J399" s="39"/>
      <c r="K399" s="39"/>
      <c r="M399"/>
      <c r="N399"/>
    </row>
    <row r="400" spans="1:14" x14ac:dyDescent="0.3">
      <c r="I400" s="39"/>
      <c r="J400" s="39"/>
      <c r="K400" s="39"/>
      <c r="M400"/>
      <c r="N400"/>
    </row>
    <row r="401" spans="9:14" x14ac:dyDescent="0.3">
      <c r="I401" s="39"/>
      <c r="J401" s="39"/>
      <c r="K401" s="39"/>
      <c r="M401"/>
      <c r="N401"/>
    </row>
    <row r="402" spans="9:14" x14ac:dyDescent="0.3">
      <c r="I402" s="39"/>
      <c r="J402" s="39"/>
      <c r="K402" s="39"/>
      <c r="M402"/>
      <c r="N402"/>
    </row>
    <row r="403" spans="9:14" x14ac:dyDescent="0.3">
      <c r="I403" s="39"/>
      <c r="J403" s="39"/>
      <c r="K403" s="39"/>
      <c r="M403"/>
      <c r="N403"/>
    </row>
    <row r="404" spans="9:14" x14ac:dyDescent="0.3">
      <c r="I404" s="39"/>
      <c r="J404" s="39"/>
      <c r="K404" s="39"/>
      <c r="M404"/>
      <c r="N404"/>
    </row>
    <row r="405" spans="9:14" x14ac:dyDescent="0.3">
      <c r="I405" s="39"/>
      <c r="J405" s="39"/>
      <c r="K405" s="39"/>
      <c r="M405"/>
      <c r="N405"/>
    </row>
    <row r="406" spans="9:14" x14ac:dyDescent="0.3">
      <c r="I406" s="39"/>
      <c r="J406" s="39"/>
      <c r="K406" s="39"/>
      <c r="M406"/>
      <c r="N406"/>
    </row>
    <row r="407" spans="9:14" x14ac:dyDescent="0.3">
      <c r="I407" s="39"/>
      <c r="J407" s="39"/>
      <c r="K407" s="39"/>
      <c r="M407"/>
      <c r="N407"/>
    </row>
    <row r="408" spans="9:14" x14ac:dyDescent="0.3">
      <c r="I408" s="39"/>
      <c r="J408" s="39"/>
      <c r="K408" s="39"/>
      <c r="M408"/>
      <c r="N408"/>
    </row>
    <row r="409" spans="9:14" x14ac:dyDescent="0.3">
      <c r="I409" s="39"/>
      <c r="J409" s="39"/>
      <c r="K409" s="39"/>
      <c r="M409"/>
      <c r="N409"/>
    </row>
    <row r="410" spans="9:14" x14ac:dyDescent="0.3">
      <c r="I410" s="39"/>
      <c r="J410" s="39"/>
      <c r="K410" s="39"/>
      <c r="M410"/>
      <c r="N410"/>
    </row>
    <row r="411" spans="9:14" x14ac:dyDescent="0.3">
      <c r="I411" s="39"/>
      <c r="J411" s="39"/>
      <c r="K411" s="39"/>
      <c r="M411"/>
      <c r="N411"/>
    </row>
    <row r="412" spans="9:14" x14ac:dyDescent="0.3">
      <c r="I412" s="39"/>
      <c r="J412" s="39"/>
      <c r="K412" s="39"/>
      <c r="M412"/>
      <c r="N412"/>
    </row>
    <row r="413" spans="9:14" x14ac:dyDescent="0.3">
      <c r="I413" s="39"/>
      <c r="J413" s="39"/>
      <c r="K413" s="39"/>
      <c r="M413"/>
      <c r="N413"/>
    </row>
    <row r="414" spans="9:14" x14ac:dyDescent="0.3">
      <c r="I414" s="39"/>
      <c r="J414" s="39"/>
      <c r="K414" s="39"/>
      <c r="M414"/>
      <c r="N414"/>
    </row>
    <row r="415" spans="9:14" x14ac:dyDescent="0.3">
      <c r="I415" s="39"/>
      <c r="J415" s="39"/>
      <c r="K415" s="39"/>
      <c r="M415"/>
      <c r="N415"/>
    </row>
    <row r="416" spans="9:14" x14ac:dyDescent="0.3">
      <c r="I416" s="39"/>
      <c r="J416" s="39"/>
      <c r="K416" s="39"/>
      <c r="M416"/>
      <c r="N416"/>
    </row>
    <row r="417" spans="9:14" x14ac:dyDescent="0.3">
      <c r="I417" s="39"/>
      <c r="J417" s="39"/>
      <c r="K417" s="39"/>
      <c r="M417"/>
      <c r="N417"/>
    </row>
    <row r="418" spans="9:14" x14ac:dyDescent="0.3">
      <c r="I418" s="39"/>
      <c r="J418" s="39"/>
      <c r="K418" s="39"/>
      <c r="M418"/>
      <c r="N418"/>
    </row>
    <row r="419" spans="9:14" x14ac:dyDescent="0.3">
      <c r="I419" s="39"/>
      <c r="J419" s="39"/>
      <c r="K419" s="39"/>
      <c r="M419"/>
      <c r="N419"/>
    </row>
    <row r="420" spans="9:14" x14ac:dyDescent="0.3">
      <c r="I420" s="39"/>
      <c r="J420" s="39"/>
      <c r="K420" s="39"/>
      <c r="M420"/>
      <c r="N420"/>
    </row>
    <row r="421" spans="9:14" x14ac:dyDescent="0.3">
      <c r="I421" s="39"/>
      <c r="J421" s="39"/>
      <c r="K421" s="39"/>
      <c r="M421"/>
      <c r="N421"/>
    </row>
    <row r="422" spans="9:14" x14ac:dyDescent="0.3">
      <c r="I422" s="39"/>
      <c r="J422" s="39"/>
      <c r="K422" s="39"/>
      <c r="M422"/>
      <c r="N422"/>
    </row>
    <row r="423" spans="9:14" x14ac:dyDescent="0.3">
      <c r="I423" s="39"/>
      <c r="J423" s="39"/>
      <c r="K423" s="39"/>
      <c r="M423"/>
      <c r="N423"/>
    </row>
    <row r="424" spans="9:14" x14ac:dyDescent="0.3">
      <c r="I424" s="39"/>
      <c r="J424" s="39"/>
      <c r="K424" s="39"/>
      <c r="M424"/>
      <c r="N424"/>
    </row>
    <row r="425" spans="9:14" x14ac:dyDescent="0.3">
      <c r="I425" s="39"/>
      <c r="J425" s="39"/>
      <c r="K425" s="39"/>
      <c r="M425"/>
      <c r="N425"/>
    </row>
    <row r="426" spans="9:14" x14ac:dyDescent="0.3">
      <c r="I426" s="39"/>
      <c r="J426" s="39"/>
      <c r="K426" s="39"/>
      <c r="M426"/>
      <c r="N426"/>
    </row>
    <row r="427" spans="9:14" x14ac:dyDescent="0.3">
      <c r="I427" s="39"/>
      <c r="J427" s="39"/>
      <c r="K427" s="39"/>
      <c r="M427"/>
      <c r="N427"/>
    </row>
    <row r="428" spans="9:14" x14ac:dyDescent="0.3">
      <c r="I428" s="39"/>
      <c r="J428" s="39"/>
      <c r="K428" s="39"/>
      <c r="M428"/>
      <c r="N428"/>
    </row>
    <row r="429" spans="9:14" x14ac:dyDescent="0.3">
      <c r="I429" s="39"/>
      <c r="J429" s="39"/>
      <c r="K429" s="39"/>
      <c r="M429"/>
      <c r="N429"/>
    </row>
    <row r="430" spans="9:14" x14ac:dyDescent="0.3">
      <c r="I430" s="39"/>
      <c r="J430" s="39"/>
      <c r="K430" s="39"/>
      <c r="M430"/>
      <c r="N430"/>
    </row>
    <row r="431" spans="9:14" x14ac:dyDescent="0.3">
      <c r="I431" s="39"/>
      <c r="J431" s="39"/>
      <c r="K431" s="39"/>
      <c r="M431"/>
      <c r="N431"/>
    </row>
    <row r="432" spans="9:14" x14ac:dyDescent="0.3">
      <c r="I432" s="39"/>
      <c r="J432" s="39"/>
      <c r="K432" s="39"/>
      <c r="M432"/>
      <c r="N432"/>
    </row>
    <row r="433" spans="9:14" x14ac:dyDescent="0.3">
      <c r="I433" s="39"/>
      <c r="J433" s="39"/>
      <c r="K433" s="39"/>
      <c r="M433"/>
      <c r="N433"/>
    </row>
    <row r="434" spans="9:14" x14ac:dyDescent="0.3">
      <c r="I434" s="39"/>
      <c r="J434" s="39"/>
      <c r="K434" s="39"/>
      <c r="M434"/>
      <c r="N434"/>
    </row>
    <row r="435" spans="9:14" x14ac:dyDescent="0.3">
      <c r="I435" s="39"/>
      <c r="J435" s="39"/>
      <c r="K435" s="39"/>
      <c r="M435"/>
      <c r="N435"/>
    </row>
    <row r="436" spans="9:14" x14ac:dyDescent="0.3">
      <c r="I436" s="39"/>
      <c r="J436" s="39"/>
      <c r="K436" s="39"/>
      <c r="M436"/>
      <c r="N436"/>
    </row>
    <row r="437" spans="9:14" x14ac:dyDescent="0.3">
      <c r="I437" s="39"/>
      <c r="J437" s="39"/>
      <c r="K437" s="39"/>
      <c r="M437"/>
      <c r="N437"/>
    </row>
    <row r="438" spans="9:14" x14ac:dyDescent="0.3">
      <c r="I438" s="39"/>
      <c r="J438" s="39"/>
      <c r="K438" s="39"/>
      <c r="M438"/>
      <c r="N438"/>
    </row>
    <row r="439" spans="9:14" x14ac:dyDescent="0.3">
      <c r="I439" s="39"/>
      <c r="J439" s="39"/>
      <c r="K439" s="39"/>
      <c r="M439"/>
      <c r="N439"/>
    </row>
    <row r="440" spans="9:14" x14ac:dyDescent="0.3">
      <c r="I440" s="39"/>
      <c r="J440" s="39"/>
      <c r="K440" s="39"/>
      <c r="M440"/>
      <c r="N440"/>
    </row>
    <row r="441" spans="9:14" x14ac:dyDescent="0.3">
      <c r="I441" s="39"/>
      <c r="J441" s="39"/>
      <c r="K441" s="39"/>
      <c r="M441"/>
      <c r="N441"/>
    </row>
    <row r="442" spans="9:14" x14ac:dyDescent="0.3">
      <c r="I442" s="39"/>
      <c r="J442" s="39"/>
      <c r="K442" s="39"/>
      <c r="M442"/>
      <c r="N442"/>
    </row>
    <row r="443" spans="9:14" x14ac:dyDescent="0.3">
      <c r="I443" s="39"/>
      <c r="J443" s="39"/>
      <c r="K443" s="39"/>
      <c r="M443"/>
      <c r="N443"/>
    </row>
    <row r="444" spans="9:14" x14ac:dyDescent="0.3">
      <c r="I444" s="39"/>
      <c r="J444" s="39"/>
      <c r="K444" s="39"/>
      <c r="M444"/>
      <c r="N444"/>
    </row>
    <row r="445" spans="9:14" x14ac:dyDescent="0.3">
      <c r="I445" s="39"/>
      <c r="J445" s="39"/>
      <c r="K445" s="39"/>
      <c r="M445"/>
      <c r="N445"/>
    </row>
    <row r="446" spans="9:14" x14ac:dyDescent="0.3">
      <c r="I446" s="39"/>
      <c r="J446" s="39"/>
      <c r="K446" s="39"/>
      <c r="M446"/>
      <c r="N446"/>
    </row>
    <row r="447" spans="9:14" x14ac:dyDescent="0.3">
      <c r="I447" s="39"/>
      <c r="J447" s="39"/>
      <c r="K447" s="39"/>
      <c r="M447"/>
      <c r="N447"/>
    </row>
    <row r="448" spans="9:14" x14ac:dyDescent="0.3">
      <c r="I448" s="39"/>
      <c r="J448" s="39"/>
      <c r="K448" s="39"/>
      <c r="M448"/>
      <c r="N448"/>
    </row>
    <row r="449" spans="9:14" x14ac:dyDescent="0.3">
      <c r="I449" s="39"/>
      <c r="J449" s="39"/>
      <c r="K449" s="39"/>
      <c r="M449"/>
      <c r="N449"/>
    </row>
    <row r="450" spans="9:14" x14ac:dyDescent="0.3">
      <c r="I450" s="39"/>
      <c r="J450" s="39"/>
      <c r="K450" s="39"/>
      <c r="M450"/>
      <c r="N450"/>
    </row>
    <row r="1107" spans="18:20" x14ac:dyDescent="0.3">
      <c r="S1107" s="1"/>
      <c r="T1107" s="1"/>
    </row>
    <row r="1108" spans="18:20" x14ac:dyDescent="0.3">
      <c r="S1108" s="1"/>
      <c r="T1108" s="1"/>
    </row>
    <row r="1109" spans="18:20" x14ac:dyDescent="0.3">
      <c r="R1109" s="1"/>
      <c r="S1109" s="1"/>
      <c r="T1109" s="1"/>
    </row>
    <row r="1110" spans="18:20" x14ac:dyDescent="0.3">
      <c r="R1110" s="1"/>
      <c r="S1110" s="1"/>
      <c r="T1110" s="1"/>
    </row>
    <row r="1111" spans="18:20" x14ac:dyDescent="0.3">
      <c r="R1111" s="1"/>
      <c r="S1111" s="1"/>
      <c r="T1111" s="1"/>
    </row>
    <row r="1112" spans="18:20" x14ac:dyDescent="0.3">
      <c r="R1112" s="1"/>
      <c r="S1112" s="1"/>
      <c r="T1112" s="1"/>
    </row>
    <row r="1113" spans="18:20" x14ac:dyDescent="0.3">
      <c r="R1113" s="1"/>
      <c r="S1113" s="1"/>
      <c r="T1113" s="1"/>
    </row>
    <row r="1114" spans="18:20" x14ac:dyDescent="0.3">
      <c r="R1114" s="1"/>
      <c r="S1114" s="1"/>
      <c r="T1114" s="1"/>
    </row>
    <row r="1115" spans="18:20" x14ac:dyDescent="0.3">
      <c r="R1115" s="1"/>
      <c r="S1115" s="1"/>
      <c r="T1115" s="1"/>
    </row>
  </sheetData>
  <sheetProtection algorithmName="SHA-512" hashValue="1GRunRBQT6QSZRUYMG1fEHtgAxpUKWks9zv9L0bnNEp2cmwVyAPL9UsBJAAI4X+Rs9FAO1WlFv9B1QKGJhYdhw==" saltValue="wBz9D7+oLvBYPDfQnLSWtg==" spinCount="100000" sheet="1" selectLockedCells="1"/>
  <mergeCells count="42">
    <mergeCell ref="J3:P3"/>
    <mergeCell ref="B81:G82"/>
    <mergeCell ref="B162:D162"/>
    <mergeCell ref="B171:D171"/>
    <mergeCell ref="B167:D167"/>
    <mergeCell ref="A330:A335"/>
    <mergeCell ref="A130:A199"/>
    <mergeCell ref="A200:A291"/>
    <mergeCell ref="A292:A329"/>
    <mergeCell ref="A84:A129"/>
    <mergeCell ref="J1:P1"/>
    <mergeCell ref="J2:P2"/>
    <mergeCell ref="E283:J284"/>
    <mergeCell ref="B330:H334"/>
    <mergeCell ref="H268:J268"/>
    <mergeCell ref="H273:J273"/>
    <mergeCell ref="H274:J274"/>
    <mergeCell ref="H275:J275"/>
    <mergeCell ref="H276:J276"/>
    <mergeCell ref="B157:D157"/>
    <mergeCell ref="B158:D158"/>
    <mergeCell ref="B159:D159"/>
    <mergeCell ref="B160:D160"/>
    <mergeCell ref="B161:D161"/>
    <mergeCell ref="E216:F216"/>
    <mergeCell ref="E253:F253"/>
    <mergeCell ref="A13:A24"/>
    <mergeCell ref="H267:J267"/>
    <mergeCell ref="E115:F115"/>
    <mergeCell ref="E116:F116"/>
    <mergeCell ref="E119:F119"/>
    <mergeCell ref="B163:D163"/>
    <mergeCell ref="B164:D164"/>
    <mergeCell ref="B165:D165"/>
    <mergeCell ref="B166:D166"/>
    <mergeCell ref="B168:D168"/>
    <mergeCell ref="B169:D169"/>
    <mergeCell ref="A26:A83"/>
    <mergeCell ref="E217:F217"/>
    <mergeCell ref="E219:F219"/>
    <mergeCell ref="B170:D170"/>
    <mergeCell ref="E218:F218"/>
  </mergeCells>
  <conditionalFormatting sqref="B78">
    <cfRule type="expression" dxfId="24" priority="11">
      <formula>B77&gt;0</formula>
    </cfRule>
  </conditionalFormatting>
  <conditionalFormatting sqref="B79">
    <cfRule type="expression" dxfId="23" priority="9">
      <formula>B77&gt;0</formula>
    </cfRule>
  </conditionalFormatting>
  <conditionalFormatting sqref="B81">
    <cfRule type="expression" dxfId="22" priority="13">
      <formula>B77&gt;0</formula>
    </cfRule>
    <cfRule type="expression" dxfId="21" priority="34">
      <formula>D79&gt;0</formula>
    </cfRule>
  </conditionalFormatting>
  <conditionalFormatting sqref="B139">
    <cfRule type="expression" dxfId="20" priority="2">
      <formula>SUM($B$132:$B$138)&gt;0</formula>
    </cfRule>
  </conditionalFormatting>
  <conditionalFormatting sqref="B140">
    <cfRule type="expression" dxfId="19" priority="1">
      <formula>SUM($B$132:$B$138)&gt;0</formula>
    </cfRule>
  </conditionalFormatting>
  <conditionalFormatting sqref="B315">
    <cfRule type="expression" dxfId="18" priority="28">
      <formula>$P$315=0</formula>
    </cfRule>
  </conditionalFormatting>
  <conditionalFormatting sqref="B149:C150">
    <cfRule type="expression" dxfId="17" priority="3">
      <formula>SUM($B$142:$B$148)&gt;0</formula>
    </cfRule>
  </conditionalFormatting>
  <conditionalFormatting sqref="B215:D215">
    <cfRule type="expression" dxfId="16" priority="4">
      <formula>$B$214&gt;0</formula>
    </cfRule>
  </conditionalFormatting>
  <conditionalFormatting sqref="C16:C18">
    <cfRule type="containsText" dxfId="15" priority="17" operator="containsText" text="*Workstations">
      <formula>NOT(ISERROR(SEARCH("*Workstations",C16)))</formula>
    </cfRule>
  </conditionalFormatting>
  <conditionalFormatting sqref="C78">
    <cfRule type="expression" dxfId="14" priority="15">
      <formula>B77&gt;0</formula>
    </cfRule>
  </conditionalFormatting>
  <conditionalFormatting sqref="C79:C80">
    <cfRule type="expression" dxfId="13" priority="14">
      <formula>B77&gt;0</formula>
    </cfRule>
  </conditionalFormatting>
  <conditionalFormatting sqref="C139:C140 B151:C151">
    <cfRule type="expression" dxfId="12" priority="24">
      <formula>SUM($B$132:$B$138)&gt;0</formula>
    </cfRule>
  </conditionalFormatting>
  <conditionalFormatting sqref="E20">
    <cfRule type="expression" dxfId="11" priority="16">
      <formula>$C$16="*Workstations"</formula>
    </cfRule>
  </conditionalFormatting>
  <conditionalFormatting sqref="E127">
    <cfRule type="expression" dxfId="10" priority="35">
      <formula>#REF!&gt;25</formula>
    </cfRule>
  </conditionalFormatting>
  <conditionalFormatting sqref="F127">
    <cfRule type="expression" dxfId="9" priority="23">
      <formula>$B$123&gt;25</formula>
    </cfRule>
  </conditionalFormatting>
  <conditionalFormatting sqref="J1:K3">
    <cfRule type="cellIs" dxfId="8" priority="19" operator="equal">
      <formula>0</formula>
    </cfRule>
    <cfRule type="cellIs" dxfId="7" priority="20" operator="greaterThan">
      <formula>0</formula>
    </cfRule>
  </conditionalFormatting>
  <conditionalFormatting sqref="P315">
    <cfRule type="cellIs" dxfId="6" priority="29" operator="equal">
      <formula>0</formula>
    </cfRule>
    <cfRule type="cellIs" dxfId="5" priority="30" operator="greaterThan">
      <formula>0</formula>
    </cfRule>
  </conditionalFormatting>
  <dataValidations count="1">
    <dataValidation type="list" allowBlank="1" showInputMessage="1" showErrorMessage="1" sqref="C293 C285" xr:uid="{00000000-0002-0000-0200-000000000000}">
      <formula1>#REF!</formula1>
    </dataValidation>
  </dataValidations>
  <hyperlinks>
    <hyperlink ref="B7" location="'NOC+Service Desk (ExhibitB)'!A306" display="Order Summary" xr:uid="{00000000-0004-0000-0200-000000000000}"/>
    <hyperlink ref="B6" location="'NOC+Service Desk (ExhibitB)'!A218" display="Additional Elective Offerings" xr:uid="{00000000-0004-0000-0200-000001000000}"/>
    <hyperlink ref="B5" location="'NOC+Service Desk (ExhibitB)'!A135" display="Email" xr:uid="{00000000-0004-0000-0200-000002000000}"/>
    <hyperlink ref="B4" location="'NOC+Service Desk (ExhibitB)'!A92" display="UTM" xr:uid="{00000000-0004-0000-0200-000003000000}"/>
    <hyperlink ref="B3" location="'NOC+Service Desk (ExhibitB)'!A32" display="Backup" xr:uid="{00000000-0004-0000-0200-000004000000}"/>
    <hyperlink ref="B2" location="'NOC+Service Desk (ExhibitB)'!A14" display="User/Server Support" xr:uid="{00000000-0004-0000-0200-000006000000}"/>
    <hyperlink ref="B8" location="'NOC+Service Desk (ExhibitB)'!A332" display="Notes" xr:uid="{00000000-0004-0000-0200-000007000000}"/>
  </hyperlinks>
  <printOptions horizontalCentered="1"/>
  <pageMargins left="0.25" right="0.25" top="1" bottom="0.5" header="0.3" footer="0.1"/>
  <pageSetup scale="10" orientation="landscape" r:id="rId1"/>
  <headerFooter>
    <oddHeader>&amp;C&amp;"-,Bold"&amp;30Collabrance Price Schedule&amp;"-,Regular"&amp;11
&amp;"-,Bold"Exhibit B</oddHeader>
    <oddFooter>&amp;L&amp;10All prices are based on monthly billing cycle.
This document is proprietary and confidential
&amp;R&amp;10Questions? Call 877-715-8485
&amp;F
Page &amp;P</oddFooter>
  </headerFooter>
  <rowBreaks count="3" manualBreakCount="3">
    <brk id="83" max="16383" man="1"/>
    <brk id="198" max="16" man="1"/>
    <brk id="290" max="16383" man="1"/>
  </rowBreaks>
  <ignoredErrors>
    <ignoredError sqref="H51:J51" formula="1"/>
  </ignoredErrors>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200-000002000000}">
          <x14:formula1>
            <xm:f>Lookups!$B$62:$B$63</xm:f>
          </x14:formula1>
          <xm:sqref>D216:D219 D29 D35 D38:D43 D49:D52 D32 D56</xm:sqref>
        </x14:dataValidation>
        <x14:dataValidation type="list" allowBlank="1" showInputMessage="1" showErrorMessage="1" xr:uid="{00000000-0002-0000-0200-000004000000}">
          <x14:formula1>
            <xm:f>Lookups!$B$39:$B$42</xm:f>
          </x14:formula1>
          <xm:sqref>F10</xm:sqref>
        </x14:dataValidation>
        <x14:dataValidation type="list" allowBlank="1" showInputMessage="1" showErrorMessage="1" xr:uid="{00000000-0002-0000-0200-000006000000}">
          <x14:formula1>
            <xm:f>Lookups!$B$46:$B$47</xm:f>
          </x14:formula1>
          <xm:sqref>C189</xm:sqref>
        </x14:dataValidation>
        <x14:dataValidation type="list" allowBlank="1" showInputMessage="1" showErrorMessage="1" xr:uid="{CF47B412-7EB0-49A9-B3B1-3DACED02D461}">
          <x14:formula1>
            <xm:f>Lookups!$B$86:$B$88</xm:f>
          </x14:formula1>
          <xm:sqref>B78:B79</xm:sqref>
        </x14:dataValidation>
        <x14:dataValidation type="list" allowBlank="1" showInputMessage="1" showErrorMessage="1" xr:uid="{0D2163E0-1A30-417E-8379-FA9D33BB83E5}">
          <x14:formula1>
            <xm:f>Lookups!$B$51:$B$53</xm:f>
          </x14:formula1>
          <xm:sqref>C56 C29 C35 C38:C43 C49:C52 C32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H952"/>
  <sheetViews>
    <sheetView showGridLines="0" zoomScale="80" zoomScaleNormal="80" workbookViewId="0">
      <pane ySplit="12" topLeftCell="A13" activePane="bottomLeft" state="frozen"/>
      <selection activeCell="A11" sqref="A11:A71"/>
      <selection pane="bottomLeft" activeCell="F4" sqref="F4"/>
    </sheetView>
  </sheetViews>
  <sheetFormatPr defaultColWidth="17.5546875" defaultRowHeight="14.4" x14ac:dyDescent="0.3"/>
  <cols>
    <col min="1" max="1" width="1.5546875" style="258" customWidth="1"/>
    <col min="2" max="2" width="26.5546875" style="38" customWidth="1"/>
    <col min="3" max="3" width="22.5546875" style="38" customWidth="1"/>
    <col min="4" max="4" width="18" customWidth="1"/>
    <col min="5" max="5" width="40.5546875" customWidth="1"/>
    <col min="6" max="6" width="42.5546875" customWidth="1"/>
    <col min="7" max="7" width="15.5546875" customWidth="1"/>
    <col min="8" max="11" width="20.5546875" customWidth="1"/>
    <col min="12" max="12" width="3.5546875" style="39" customWidth="1"/>
    <col min="13" max="14" width="15" style="39" customWidth="1"/>
    <col min="15" max="15" width="15" customWidth="1"/>
    <col min="16" max="16" width="15.5546875" style="39" customWidth="1"/>
    <col min="17" max="17" width="2.44140625" customWidth="1"/>
    <col min="18" max="18" width="9.44140625" customWidth="1"/>
    <col min="19" max="19" width="12.5546875" customWidth="1"/>
    <col min="20" max="20" width="15.44140625" customWidth="1"/>
    <col min="21" max="21" width="18.5546875" customWidth="1"/>
  </cols>
  <sheetData>
    <row r="1" spans="1:34" ht="15.9" customHeight="1" x14ac:dyDescent="0.3">
      <c r="A1" s="262"/>
      <c r="B1" s="232" t="s">
        <v>54</v>
      </c>
      <c r="E1" s="273"/>
      <c r="F1" s="272" t="s">
        <v>55</v>
      </c>
      <c r="G1" s="273"/>
      <c r="H1" s="273"/>
      <c r="J1" s="450">
        <f>IF((Lookups!C11+Lookups!C12)&gt;0,"Caution: You also have services selected in other Exhibit B tab(s)",0)</f>
        <v>0</v>
      </c>
      <c r="K1" s="450"/>
      <c r="L1" s="450"/>
      <c r="M1" s="450"/>
      <c r="N1" s="450"/>
      <c r="O1" s="450"/>
      <c r="P1" s="450"/>
    </row>
    <row r="2" spans="1:34" ht="15.9" customHeight="1" x14ac:dyDescent="0.3">
      <c r="A2" s="262"/>
      <c r="B2" s="234" t="s">
        <v>469</v>
      </c>
      <c r="E2" s="273"/>
      <c r="F2" s="272" t="s">
        <v>57</v>
      </c>
      <c r="G2" s="273"/>
      <c r="H2" s="273"/>
      <c r="J2" s="468">
        <f>IF(J1=0,0,"Please zero those out if you're submitting an order for an offering from this tab")</f>
        <v>0</v>
      </c>
      <c r="K2" s="468"/>
      <c r="L2" s="468"/>
      <c r="M2" s="468"/>
      <c r="N2" s="468"/>
      <c r="O2" s="468"/>
      <c r="P2" s="468"/>
    </row>
    <row r="3" spans="1:34" ht="15.9" customHeight="1" x14ac:dyDescent="0.5">
      <c r="A3" s="262"/>
      <c r="B3" s="234" t="s">
        <v>470</v>
      </c>
      <c r="E3" s="273"/>
      <c r="F3" s="272" t="s">
        <v>471</v>
      </c>
      <c r="G3" s="273"/>
      <c r="H3" s="273"/>
      <c r="I3" s="139"/>
      <c r="J3" s="468">
        <f>IF(P151=0,0,IF(B23&gt;0,0,"Selected a Backup Only option, but have not added Server Monitoring quantity"))</f>
        <v>0</v>
      </c>
      <c r="K3" s="468"/>
      <c r="L3" s="468"/>
      <c r="M3" s="468"/>
      <c r="N3" s="468"/>
      <c r="O3" s="468"/>
      <c r="P3" s="468"/>
    </row>
    <row r="4" spans="1:34" ht="15.9" customHeight="1" x14ac:dyDescent="0.35">
      <c r="A4" s="262"/>
      <c r="B4" s="234" t="s">
        <v>472</v>
      </c>
      <c r="E4" s="205" t="s">
        <v>61</v>
      </c>
      <c r="F4" s="41"/>
      <c r="G4" s="42"/>
      <c r="H4" s="42"/>
      <c r="I4" s="42"/>
      <c r="L4" s="328"/>
      <c r="M4" s="328"/>
      <c r="N4" s="328"/>
      <c r="P4" s="328"/>
    </row>
    <row r="5" spans="1:34" ht="15.9" customHeight="1" x14ac:dyDescent="0.35">
      <c r="A5" s="262"/>
      <c r="B5" s="234" t="s">
        <v>64</v>
      </c>
      <c r="C5" s="235"/>
      <c r="E5" s="205" t="s">
        <v>63</v>
      </c>
      <c r="F5" s="41"/>
      <c r="G5" s="42"/>
      <c r="H5" s="42"/>
      <c r="I5" s="42"/>
      <c r="J5" s="42"/>
      <c r="K5" s="42"/>
      <c r="L5"/>
      <c r="M5"/>
      <c r="N5"/>
      <c r="P5"/>
    </row>
    <row r="6" spans="1:34" ht="15.9" customHeight="1" thickBot="1" x14ac:dyDescent="0.4">
      <c r="A6" s="262"/>
      <c r="B6" s="257" t="s">
        <v>66</v>
      </c>
      <c r="D6" s="173"/>
      <c r="E6" s="205" t="s">
        <v>65</v>
      </c>
      <c r="F6" s="41"/>
      <c r="G6" s="42"/>
      <c r="H6" s="42"/>
      <c r="I6" s="42"/>
      <c r="J6" s="42"/>
      <c r="K6" s="42"/>
      <c r="L6"/>
      <c r="M6"/>
      <c r="N6"/>
      <c r="P6"/>
    </row>
    <row r="7" spans="1:34" ht="15.9" customHeight="1" x14ac:dyDescent="0.35">
      <c r="A7" s="262"/>
      <c r="B7" s="239"/>
      <c r="D7" s="173"/>
      <c r="E7" s="205" t="s">
        <v>67</v>
      </c>
      <c r="F7" s="41"/>
      <c r="G7" s="42"/>
      <c r="H7" s="42"/>
      <c r="I7" s="42"/>
      <c r="J7" s="42"/>
      <c r="K7" s="42"/>
      <c r="L7"/>
      <c r="M7"/>
      <c r="N7"/>
      <c r="P7"/>
    </row>
    <row r="8" spans="1:34" ht="15.9" customHeight="1" x14ac:dyDescent="0.35">
      <c r="A8" s="262"/>
      <c r="B8" s="239"/>
      <c r="D8" s="173"/>
      <c r="E8" s="205" t="s">
        <v>68</v>
      </c>
      <c r="F8" s="43"/>
      <c r="G8" s="42"/>
      <c r="H8" s="42"/>
      <c r="I8" s="42"/>
      <c r="J8" s="42"/>
      <c r="K8" s="42"/>
      <c r="L8"/>
      <c r="M8"/>
      <c r="N8"/>
      <c r="P8"/>
    </row>
    <row r="9" spans="1:34" ht="15.9" customHeight="1" x14ac:dyDescent="0.35">
      <c r="A9" s="262"/>
      <c r="B9" s="239"/>
      <c r="D9" s="173"/>
      <c r="E9" s="205" t="s">
        <v>69</v>
      </c>
      <c r="F9" s="43"/>
      <c r="G9" s="42"/>
      <c r="H9" s="42"/>
      <c r="I9" s="42"/>
      <c r="J9" s="42"/>
      <c r="K9" s="42"/>
      <c r="L9"/>
      <c r="M9"/>
      <c r="N9"/>
      <c r="P9"/>
    </row>
    <row r="10" spans="1:34" ht="15.9" customHeight="1" x14ac:dyDescent="0.35">
      <c r="A10" s="1"/>
      <c r="B10" s="239"/>
      <c r="C10"/>
      <c r="D10" s="173"/>
      <c r="E10" s="205" t="s">
        <v>70</v>
      </c>
      <c r="F10" s="43"/>
      <c r="G10" s="212" t="str">
        <f>IFERROR(VLOOKUP(F10,Lookups!$B$40:$C$42,2,FALSE),"")</f>
        <v/>
      </c>
      <c r="H10" s="42"/>
      <c r="I10" s="238"/>
      <c r="J10" s="42"/>
      <c r="K10" s="42"/>
      <c r="L10"/>
      <c r="M10"/>
      <c r="N10"/>
      <c r="P10" s="335" t="s">
        <v>71</v>
      </c>
    </row>
    <row r="11" spans="1:34" ht="15.9" customHeight="1" x14ac:dyDescent="0.35">
      <c r="A11" s="1"/>
      <c r="B11" s="239"/>
      <c r="C11"/>
      <c r="D11" s="173"/>
      <c r="E11" s="205" t="s">
        <v>72</v>
      </c>
      <c r="F11" s="41"/>
      <c r="G11" s="212"/>
      <c r="H11" s="42"/>
      <c r="I11" s="238"/>
      <c r="J11" s="42"/>
      <c r="K11" s="42"/>
      <c r="L11"/>
      <c r="M11"/>
      <c r="N11"/>
      <c r="P11" s="335"/>
    </row>
    <row r="12" spans="1:34" ht="15" customHeight="1" x14ac:dyDescent="0.3">
      <c r="A12" s="1"/>
      <c r="B12" s="160" t="s">
        <v>73</v>
      </c>
      <c r="C12" s="44"/>
      <c r="D12" s="1"/>
      <c r="E12" s="382"/>
      <c r="F12" s="45"/>
      <c r="G12" s="40"/>
      <c r="H12" s="1"/>
      <c r="I12" s="1"/>
      <c r="J12" s="1"/>
      <c r="K12" s="1"/>
      <c r="L12" s="46"/>
      <c r="M12" s="279" t="s">
        <v>74</v>
      </c>
      <c r="N12" s="299" t="s">
        <v>75</v>
      </c>
      <c r="O12" s="299" t="s">
        <v>76</v>
      </c>
      <c r="P12" s="299" t="s">
        <v>77</v>
      </c>
    </row>
    <row r="13" spans="1:34" ht="15" customHeight="1" x14ac:dyDescent="0.3">
      <c r="A13" s="487"/>
      <c r="B13" s="250" t="s">
        <v>469</v>
      </c>
      <c r="C13" s="241"/>
      <c r="D13" s="249"/>
      <c r="E13" s="243"/>
      <c r="F13" s="243"/>
      <c r="G13" s="243"/>
      <c r="H13" s="247"/>
      <c r="I13" s="247"/>
      <c r="J13" s="244"/>
      <c r="K13" s="244"/>
      <c r="L13" s="248"/>
      <c r="M13" s="322"/>
      <c r="N13" s="324"/>
      <c r="O13" s="324"/>
      <c r="P13" s="324"/>
    </row>
    <row r="14" spans="1:34" ht="15" customHeight="1" x14ac:dyDescent="0.3">
      <c r="A14" s="487"/>
      <c r="B14" s="255"/>
      <c r="C14" s="204"/>
      <c r="D14" s="157" t="s">
        <v>473</v>
      </c>
      <c r="E14" s="47"/>
      <c r="F14" s="47"/>
      <c r="G14" s="47"/>
      <c r="H14" s="48"/>
      <c r="I14" s="48"/>
      <c r="J14" s="48"/>
      <c r="K14" s="48"/>
      <c r="L14" s="170"/>
      <c r="M14" s="280">
        <f>SUM(M16:M20)</f>
        <v>0</v>
      </c>
      <c r="N14" s="300">
        <f>SUM(N16:N20)</f>
        <v>0</v>
      </c>
      <c r="O14" s="300">
        <f>SUM(O16:O20)</f>
        <v>0</v>
      </c>
      <c r="P14" s="300">
        <f>SUM(P16:P20)</f>
        <v>0</v>
      </c>
    </row>
    <row r="15" spans="1:34" x14ac:dyDescent="0.3">
      <c r="A15" s="487"/>
      <c r="C15" s="36"/>
      <c r="D15" s="1"/>
      <c r="E15" s="263"/>
      <c r="F15" s="45"/>
      <c r="G15" s="45"/>
      <c r="H15" s="61"/>
      <c r="I15" s="58"/>
      <c r="J15" s="1"/>
      <c r="K15" s="1"/>
      <c r="L15" s="442"/>
      <c r="M15" s="282"/>
      <c r="N15" s="302"/>
      <c r="O15" s="302"/>
      <c r="P15" s="302"/>
      <c r="AG15" s="57"/>
      <c r="AH15" s="57"/>
    </row>
    <row r="16" spans="1:34" x14ac:dyDescent="0.3">
      <c r="A16" s="487"/>
      <c r="B16" s="52">
        <v>0</v>
      </c>
      <c r="C16" s="53" t="s">
        <v>275</v>
      </c>
      <c r="D16" s="1"/>
      <c r="E16" s="54" t="s">
        <v>473</v>
      </c>
      <c r="F16" s="71"/>
      <c r="G16" s="254" t="s">
        <v>474</v>
      </c>
      <c r="H16" s="438">
        <v>29.4</v>
      </c>
      <c r="I16" s="390" t="s">
        <v>83</v>
      </c>
      <c r="K16" s="77"/>
      <c r="L16" s="37"/>
      <c r="M16" s="282"/>
      <c r="N16" s="302"/>
      <c r="O16" s="302"/>
      <c r="P16" s="302">
        <f>H16*B16</f>
        <v>0</v>
      </c>
      <c r="AG16" s="57"/>
      <c r="AH16" s="57"/>
    </row>
    <row r="17" spans="1:34" x14ac:dyDescent="0.3">
      <c r="A17" s="487"/>
      <c r="B17" s="52">
        <v>0</v>
      </c>
      <c r="C17" s="53" t="s">
        <v>275</v>
      </c>
      <c r="D17" s="1"/>
      <c r="E17" s="54" t="s">
        <v>475</v>
      </c>
      <c r="F17" s="71"/>
      <c r="G17" s="254" t="s">
        <v>476</v>
      </c>
      <c r="H17" s="438">
        <v>10</v>
      </c>
      <c r="I17" s="390" t="s">
        <v>83</v>
      </c>
      <c r="K17" s="77"/>
      <c r="L17" s="37"/>
      <c r="M17" s="282"/>
      <c r="N17" s="302"/>
      <c r="O17" s="302"/>
      <c r="P17" s="302">
        <f>H17*B17</f>
        <v>0</v>
      </c>
      <c r="AG17" s="57"/>
      <c r="AH17" s="57"/>
    </row>
    <row r="18" spans="1:34" x14ac:dyDescent="0.3">
      <c r="A18" s="487"/>
      <c r="B18" s="38">
        <f>IF(F10=Lookups!B41,0,IF(B16+B17=0,0,1))</f>
        <v>0</v>
      </c>
      <c r="C18" s="53" t="s">
        <v>176</v>
      </c>
      <c r="D18" s="1"/>
      <c r="E18" s="90" t="s">
        <v>477</v>
      </c>
      <c r="F18" s="107"/>
      <c r="G18" s="87" t="s">
        <v>478</v>
      </c>
      <c r="H18" s="72">
        <v>262.5</v>
      </c>
      <c r="I18" s="390" t="s">
        <v>86</v>
      </c>
      <c r="K18" s="77"/>
      <c r="L18" s="105"/>
      <c r="M18" s="282">
        <f>+H18*B18</f>
        <v>0</v>
      </c>
      <c r="N18" s="302"/>
      <c r="O18" s="302"/>
      <c r="P18" s="302"/>
    </row>
    <row r="19" spans="1:34" x14ac:dyDescent="0.3">
      <c r="A19" s="487"/>
      <c r="C19" s="36"/>
      <c r="D19" s="1"/>
      <c r="E19" s="60" t="s">
        <v>479</v>
      </c>
      <c r="F19" s="45"/>
      <c r="G19" s="45"/>
      <c r="H19" s="61"/>
      <c r="I19" s="58"/>
      <c r="J19" s="1"/>
      <c r="K19" s="1"/>
      <c r="L19" s="62"/>
      <c r="M19" s="284"/>
      <c r="N19" s="304"/>
      <c r="O19" s="304"/>
      <c r="P19" s="304"/>
      <c r="AG19" s="57"/>
      <c r="AH19" s="57"/>
    </row>
    <row r="20" spans="1:34" x14ac:dyDescent="0.3">
      <c r="A20" s="487"/>
      <c r="C20" s="36"/>
      <c r="D20" s="1"/>
      <c r="E20" s="263"/>
      <c r="F20" s="45"/>
      <c r="G20" s="45"/>
      <c r="H20" s="61"/>
      <c r="I20" s="58"/>
      <c r="J20" s="1"/>
      <c r="K20" s="1"/>
      <c r="L20" s="62"/>
      <c r="M20" s="284"/>
      <c r="N20" s="304"/>
      <c r="O20" s="304"/>
      <c r="P20" s="304"/>
      <c r="AG20" s="57"/>
      <c r="AH20" s="57"/>
    </row>
    <row r="21" spans="1:34" ht="15.6" x14ac:dyDescent="0.3">
      <c r="A21" s="458"/>
      <c r="B21" s="250" t="s">
        <v>470</v>
      </c>
      <c r="C21" s="241"/>
      <c r="D21" s="246"/>
      <c r="E21" s="243"/>
      <c r="F21" s="243"/>
      <c r="G21" s="243"/>
      <c r="H21" s="247"/>
      <c r="I21" s="247"/>
      <c r="J21" s="247"/>
      <c r="K21" s="247"/>
      <c r="L21" s="248"/>
      <c r="M21" s="322"/>
      <c r="N21" s="324"/>
      <c r="O21" s="324"/>
      <c r="P21" s="324"/>
      <c r="AG21" s="57"/>
      <c r="AH21" s="57"/>
    </row>
    <row r="22" spans="1:34" ht="15.6" x14ac:dyDescent="0.3">
      <c r="A22" s="458"/>
      <c r="B22" s="255"/>
      <c r="C22" s="204"/>
      <c r="D22" s="157" t="s">
        <v>480</v>
      </c>
      <c r="E22" s="47"/>
      <c r="F22" s="47"/>
      <c r="G22" s="47"/>
      <c r="H22" s="48" t="s">
        <v>83</v>
      </c>
      <c r="I22" s="48"/>
      <c r="J22" s="48"/>
      <c r="K22" s="48"/>
      <c r="L22" s="170"/>
      <c r="M22" s="280">
        <f>SUM(M23:M26)</f>
        <v>0</v>
      </c>
      <c r="N22" s="300">
        <f t="shared" ref="N22:P22" si="0">SUM(N23:N26)</f>
        <v>0</v>
      </c>
      <c r="O22" s="300">
        <f>SUM(O23:O26)</f>
        <v>0</v>
      </c>
      <c r="P22" s="300">
        <f t="shared" si="0"/>
        <v>0</v>
      </c>
      <c r="AG22" s="57"/>
      <c r="AH22" s="57"/>
    </row>
    <row r="23" spans="1:34" x14ac:dyDescent="0.3">
      <c r="A23" s="458"/>
      <c r="B23" s="52">
        <v>0</v>
      </c>
      <c r="C23" s="53" t="s">
        <v>88</v>
      </c>
      <c r="D23" s="1"/>
      <c r="E23" s="90" t="s">
        <v>481</v>
      </c>
      <c r="F23" s="55"/>
      <c r="G23" s="254" t="s">
        <v>482</v>
      </c>
      <c r="H23" s="72">
        <v>6.3</v>
      </c>
      <c r="I23" s="58"/>
      <c r="K23" s="1"/>
      <c r="L23" s="37"/>
      <c r="M23" s="282"/>
      <c r="N23" s="302"/>
      <c r="O23" s="302"/>
      <c r="P23" s="302">
        <f>H23*B23</f>
        <v>0</v>
      </c>
      <c r="AG23" s="57"/>
      <c r="AH23" s="57"/>
    </row>
    <row r="24" spans="1:34" x14ac:dyDescent="0.3">
      <c r="A24" s="458"/>
      <c r="B24" s="36"/>
      <c r="C24" s="36"/>
      <c r="D24" s="1"/>
      <c r="E24" s="75" t="s">
        <v>483</v>
      </c>
      <c r="F24" s="45"/>
      <c r="G24" s="45"/>
      <c r="H24" s="58"/>
      <c r="I24" s="58"/>
      <c r="K24" s="1"/>
      <c r="L24" s="37"/>
      <c r="M24" s="282"/>
      <c r="N24" s="302"/>
      <c r="O24" s="316"/>
      <c r="P24" s="316"/>
      <c r="AG24" s="57"/>
      <c r="AH24" s="57"/>
    </row>
    <row r="25" spans="1:34" x14ac:dyDescent="0.3">
      <c r="A25" s="458"/>
      <c r="B25" s="36"/>
      <c r="C25" s="36"/>
      <c r="D25" s="1"/>
      <c r="F25" s="45"/>
      <c r="G25" s="45"/>
      <c r="H25" s="58"/>
      <c r="I25" s="58"/>
      <c r="K25" s="1"/>
      <c r="L25" s="37"/>
      <c r="M25" s="282"/>
      <c r="N25" s="302"/>
      <c r="O25" s="316"/>
      <c r="P25" s="316"/>
      <c r="AG25" s="57"/>
      <c r="AH25" s="57"/>
    </row>
    <row r="26" spans="1:34" ht="15" customHeight="1" x14ac:dyDescent="0.3">
      <c r="A26" s="458"/>
      <c r="C26" s="36"/>
      <c r="D26" s="1"/>
      <c r="E26" s="122"/>
      <c r="F26" s="122"/>
      <c r="H26" s="1"/>
      <c r="I26" s="74"/>
      <c r="K26" s="181"/>
      <c r="L26" s="37"/>
      <c r="M26" s="282"/>
      <c r="N26" s="302"/>
      <c r="O26" s="302"/>
      <c r="P26" s="302"/>
    </row>
    <row r="27" spans="1:34" ht="15.6" x14ac:dyDescent="0.3">
      <c r="A27" s="458"/>
      <c r="B27" s="255"/>
      <c r="C27" s="204"/>
      <c r="D27" s="157" t="s">
        <v>484</v>
      </c>
      <c r="E27" s="47"/>
      <c r="F27" s="47"/>
      <c r="G27" s="47"/>
      <c r="H27" s="48" t="s">
        <v>83</v>
      </c>
      <c r="I27" s="48" t="s">
        <v>83</v>
      </c>
      <c r="J27" s="48" t="s">
        <v>83</v>
      </c>
      <c r="K27" s="48" t="s">
        <v>93</v>
      </c>
      <c r="L27" s="170"/>
      <c r="M27" s="280">
        <f>SUM(M28:M61)</f>
        <v>0</v>
      </c>
      <c r="N27" s="300">
        <f>SUM(N28:N61)</f>
        <v>0</v>
      </c>
      <c r="O27" s="300">
        <f>SUM(O28:O61)</f>
        <v>0</v>
      </c>
      <c r="P27" s="300">
        <f>SUM(P28:P61)</f>
        <v>0</v>
      </c>
      <c r="AG27" s="57"/>
      <c r="AH27" s="57"/>
    </row>
    <row r="28" spans="1:34" ht="15" customHeight="1" x14ac:dyDescent="0.3">
      <c r="A28" s="458"/>
      <c r="B28" s="162"/>
      <c r="C28" s="162"/>
      <c r="D28" s="159"/>
      <c r="E28" s="159" t="s">
        <v>94</v>
      </c>
      <c r="F28" s="110"/>
      <c r="G28" s="110"/>
      <c r="H28" s="111"/>
      <c r="I28" s="177"/>
      <c r="J28" s="177"/>
      <c r="K28" s="112"/>
      <c r="L28" s="171"/>
      <c r="M28" s="281"/>
      <c r="N28" s="301"/>
      <c r="O28" s="301"/>
      <c r="P28" s="301"/>
    </row>
    <row r="29" spans="1:34" x14ac:dyDescent="0.3">
      <c r="A29" s="458"/>
      <c r="B29" s="161" t="s">
        <v>95</v>
      </c>
      <c r="C29" s="65" t="s">
        <v>96</v>
      </c>
      <c r="D29" s="161" t="s">
        <v>97</v>
      </c>
      <c r="E29" s="367" t="s">
        <v>98</v>
      </c>
      <c r="F29" s="67"/>
      <c r="G29" s="153"/>
      <c r="H29" s="68" t="s">
        <v>99</v>
      </c>
      <c r="I29" s="68" t="s">
        <v>100</v>
      </c>
      <c r="J29" s="68" t="s">
        <v>101</v>
      </c>
      <c r="K29" s="68" t="s">
        <v>97</v>
      </c>
      <c r="L29" s="439"/>
      <c r="M29" s="282"/>
      <c r="N29" s="302"/>
      <c r="O29" s="302"/>
      <c r="P29" s="303"/>
      <c r="AF29" s="57"/>
      <c r="AG29" s="57"/>
    </row>
    <row r="30" spans="1:34" x14ac:dyDescent="0.3">
      <c r="A30" s="458"/>
      <c r="B30" s="52">
        <v>0</v>
      </c>
      <c r="C30" s="70" t="s">
        <v>99</v>
      </c>
      <c r="D30" s="52" t="s">
        <v>102</v>
      </c>
      <c r="E30" s="368" t="s">
        <v>103</v>
      </c>
      <c r="F30" s="118"/>
      <c r="G30" s="71" t="str">
        <f>IF(C30=Lookups!$B$51,"DPR-2900",IF(C30=Lookups!$B$52,"DPR-2901","DPR-2902"))</f>
        <v>DPR-2900</v>
      </c>
      <c r="H30" s="72">
        <v>123</v>
      </c>
      <c r="I30" s="72">
        <v>149</v>
      </c>
      <c r="J30" s="72">
        <v>159</v>
      </c>
      <c r="K30" s="72">
        <v>84</v>
      </c>
      <c r="L30" s="440"/>
      <c r="M30" s="282"/>
      <c r="N30" s="302"/>
      <c r="O30" s="302"/>
      <c r="P30" s="303">
        <f>IF(AND(B30&gt;0,D30="Yes"),IF(C30=$H$29,($B30*H30)+(B30*K30),IF(C30=$I$29,($B30*I30)+(B30*K30),IF(C30=$J$29,($B30*J30)+(B30*K30),B30*J30))),IF(AND(B30&gt;0,D30="No"),IF(C30=$H$29,($B30*H30),IF(C30=$I$29,($B30*I30),IF(C30=$J$29,($B30*J30),B30*J30))),0))</f>
        <v>0</v>
      </c>
    </row>
    <row r="31" spans="1:34" x14ac:dyDescent="0.3">
      <c r="A31" s="458"/>
      <c r="B31" s="99"/>
      <c r="C31" s="73"/>
      <c r="D31" s="66"/>
      <c r="E31" s="75"/>
      <c r="F31" s="88"/>
      <c r="G31" s="76"/>
      <c r="H31" s="77"/>
      <c r="I31" s="77"/>
      <c r="J31" s="77"/>
      <c r="K31" s="77"/>
      <c r="L31" s="439"/>
      <c r="M31" s="282"/>
      <c r="N31" s="302"/>
      <c r="O31" s="302"/>
      <c r="P31" s="303"/>
    </row>
    <row r="32" spans="1:34" x14ac:dyDescent="0.3">
      <c r="A32" s="458"/>
      <c r="B32" s="161" t="s">
        <v>95</v>
      </c>
      <c r="C32" s="65" t="s">
        <v>96</v>
      </c>
      <c r="D32" s="161" t="s">
        <v>97</v>
      </c>
      <c r="E32" s="367" t="s">
        <v>104</v>
      </c>
      <c r="F32" s="67"/>
      <c r="G32" s="153"/>
      <c r="H32" s="68" t="s">
        <v>99</v>
      </c>
      <c r="I32" s="68" t="s">
        <v>100</v>
      </c>
      <c r="J32" s="68" t="s">
        <v>101</v>
      </c>
      <c r="K32" s="68" t="s">
        <v>97</v>
      </c>
      <c r="L32" s="439"/>
      <c r="M32" s="282"/>
      <c r="N32" s="302"/>
      <c r="O32" s="302"/>
      <c r="P32" s="303"/>
      <c r="AF32" s="57"/>
      <c r="AG32" s="57"/>
    </row>
    <row r="33" spans="1:18" x14ac:dyDescent="0.3">
      <c r="A33" s="458"/>
      <c r="B33" s="52">
        <v>0</v>
      </c>
      <c r="C33" s="70" t="s">
        <v>99</v>
      </c>
      <c r="D33" s="52" t="s">
        <v>102</v>
      </c>
      <c r="E33" s="368" t="s">
        <v>105</v>
      </c>
      <c r="F33" s="118"/>
      <c r="G33" s="71"/>
      <c r="H33" s="72">
        <v>246</v>
      </c>
      <c r="I33" s="72">
        <v>298</v>
      </c>
      <c r="J33" s="72">
        <v>318</v>
      </c>
      <c r="K33" s="72">
        <v>105</v>
      </c>
      <c r="L33" s="440"/>
      <c r="M33" s="282"/>
      <c r="N33" s="302"/>
      <c r="O33" s="302"/>
      <c r="P33" s="303">
        <f>IF(AND(B33&gt;0,D33="Yes"),IF(C33=$H$32,($B33*H33)+(B33*K33),IF(C33=$I$32,($B33*I33)+(B33*K33),IF(C33=$J$32,($B33*J33)+(B33*K33),B33*J33))),IF(AND(B33&gt;0,D33="No"),IF(C33=$H$32,($B33*H33),IF(C33=$I$32,($B33*I33),IF(C33=$J$32,($B33*J33),B33*J33))),0))</f>
        <v>0</v>
      </c>
    </row>
    <row r="34" spans="1:18" x14ac:dyDescent="0.3">
      <c r="A34" s="458"/>
      <c r="B34" s="99"/>
      <c r="C34" s="73"/>
      <c r="D34" s="66"/>
      <c r="E34" s="75"/>
      <c r="F34" s="88"/>
      <c r="G34" s="76"/>
      <c r="H34" s="77"/>
      <c r="I34" s="77"/>
      <c r="J34" s="77"/>
      <c r="K34" s="77"/>
      <c r="L34" s="439"/>
      <c r="M34" s="282"/>
      <c r="N34" s="302"/>
      <c r="O34" s="302"/>
      <c r="P34" s="303"/>
    </row>
    <row r="35" spans="1:18" x14ac:dyDescent="0.3">
      <c r="A35" s="458"/>
      <c r="B35" s="161" t="s">
        <v>106</v>
      </c>
      <c r="C35" s="65" t="s">
        <v>96</v>
      </c>
      <c r="D35" s="161" t="s">
        <v>97</v>
      </c>
      <c r="E35" s="367" t="s">
        <v>107</v>
      </c>
      <c r="F35" s="67"/>
      <c r="G35" s="153"/>
      <c r="H35" s="68" t="s">
        <v>99</v>
      </c>
      <c r="I35" s="68" t="s">
        <v>100</v>
      </c>
      <c r="J35" s="68" t="s">
        <v>101</v>
      </c>
      <c r="K35" s="68" t="s">
        <v>97</v>
      </c>
      <c r="L35" s="441"/>
      <c r="M35" s="285"/>
      <c r="N35" s="303"/>
      <c r="O35" s="303"/>
      <c r="P35" s="303"/>
    </row>
    <row r="36" spans="1:18" x14ac:dyDescent="0.3">
      <c r="A36" s="458"/>
      <c r="B36" s="52">
        <v>0</v>
      </c>
      <c r="C36" s="70" t="s">
        <v>99</v>
      </c>
      <c r="D36" s="52" t="s">
        <v>102</v>
      </c>
      <c r="E36" s="368" t="s">
        <v>108</v>
      </c>
      <c r="F36" s="118"/>
      <c r="G36" s="71" t="str">
        <f>IF(C36=Lookups!$B$51,"DPR-2900",IF(C36=Lookups!$B$52,"DPR-2901","DPR-2902"))</f>
        <v>DPR-2900</v>
      </c>
      <c r="H36" s="72">
        <v>123</v>
      </c>
      <c r="I36" s="72">
        <v>149</v>
      </c>
      <c r="J36" s="72">
        <v>159</v>
      </c>
      <c r="K36" s="72">
        <v>21</v>
      </c>
      <c r="L36" s="441"/>
      <c r="M36" s="285"/>
      <c r="N36" s="303"/>
      <c r="O36" s="302"/>
      <c r="P36" s="303">
        <f>IF(AND(B36&gt;0,D36="Yes"),IF(C36=$H$35,($B36*H36)+(B36*K36),IF(C36=$I$35,($B36*I36)+(B36*K36),IF(C36=$J$35,($B36*J36)+(B36*K36),B36*J36))),IF(AND(B36&gt;0,D36="No"),IF(C36=$H$35,($B36*H36),IF(C36=$I$35,($B36*I36),IF(C36=$J$35,($B36*J36),B36*J36))),0))</f>
        <v>0</v>
      </c>
    </row>
    <row r="37" spans="1:18" x14ac:dyDescent="0.3">
      <c r="A37" s="458"/>
      <c r="B37" s="99"/>
      <c r="C37" s="99"/>
      <c r="D37" s="65"/>
      <c r="E37" s="88"/>
      <c r="F37" s="88"/>
      <c r="G37" s="76"/>
      <c r="H37" s="77"/>
      <c r="I37" s="77"/>
      <c r="J37" s="77"/>
      <c r="K37" s="77"/>
      <c r="L37" s="439"/>
      <c r="M37" s="282"/>
      <c r="N37" s="302"/>
      <c r="O37" s="302"/>
      <c r="P37" s="303"/>
    </row>
    <row r="38" spans="1:18" x14ac:dyDescent="0.3">
      <c r="A38" s="458"/>
      <c r="B38" s="161" t="s">
        <v>95</v>
      </c>
      <c r="C38" s="65" t="s">
        <v>96</v>
      </c>
      <c r="D38" s="161" t="s">
        <v>97</v>
      </c>
      <c r="E38" s="84" t="s">
        <v>109</v>
      </c>
      <c r="F38" s="84"/>
      <c r="G38" s="153"/>
      <c r="H38" s="68" t="s">
        <v>99</v>
      </c>
      <c r="I38" s="68" t="s">
        <v>100</v>
      </c>
      <c r="J38" s="68" t="s">
        <v>101</v>
      </c>
      <c r="K38" s="68" t="s">
        <v>97</v>
      </c>
      <c r="L38" s="399"/>
      <c r="M38" s="282"/>
      <c r="N38" s="302"/>
      <c r="O38" s="302"/>
      <c r="P38" s="303"/>
      <c r="R38" s="85"/>
    </row>
    <row r="39" spans="1:18" x14ac:dyDescent="0.3">
      <c r="A39" s="458"/>
      <c r="B39" s="52">
        <v>0</v>
      </c>
      <c r="C39" s="70" t="s">
        <v>99</v>
      </c>
      <c r="D39" s="52" t="s">
        <v>102</v>
      </c>
      <c r="E39" s="368" t="s">
        <v>110</v>
      </c>
      <c r="F39" s="86"/>
      <c r="G39" s="71" t="str">
        <f>IF(C39=Lookups!$B$51,"DPR-2903",IF(C39=Lookups!$B$52,"DPR-2904","DPR-2905"))</f>
        <v>DPR-2903</v>
      </c>
      <c r="H39" s="72">
        <v>294</v>
      </c>
      <c r="I39" s="401">
        <v>320</v>
      </c>
      <c r="J39" s="401">
        <v>337</v>
      </c>
      <c r="K39" s="72">
        <v>115</v>
      </c>
      <c r="L39" s="399"/>
      <c r="M39" s="287"/>
      <c r="N39" s="302"/>
      <c r="O39" s="302"/>
      <c r="P39" s="303">
        <f t="shared" ref="P39:P44" si="1">IF(AND(B39&gt;0,D39="Yes"),IF(C39=$H$38,($B39*H39)+(B39*K39),IF(C39=$I$38,($B39*I39)+(B39*K39),IF(C39=$J$38,($B39*J39)+(B39*K39),B39*J39))),IF(AND(B39&gt;0,D39="No"),IF(C39=$H$38,($B39*H39),IF(C39=$I$38,($B39*I39),IF(C39=$J$38,($B39*J39),B39*J39))),0))</f>
        <v>0</v>
      </c>
    </row>
    <row r="40" spans="1:18" ht="15" customHeight="1" x14ac:dyDescent="0.3">
      <c r="A40" s="458"/>
      <c r="B40" s="52">
        <v>0</v>
      </c>
      <c r="C40" s="70" t="s">
        <v>99</v>
      </c>
      <c r="D40" s="52" t="s">
        <v>102</v>
      </c>
      <c r="E40" s="369" t="s">
        <v>111</v>
      </c>
      <c r="F40" s="86"/>
      <c r="G40" s="71" t="str">
        <f>IF(C40=Lookups!$B$51,"DPR-2906",IF(C40=Lookups!$B$52,"DPR-2907","DPR-2908"))</f>
        <v>DPR-2906</v>
      </c>
      <c r="H40" s="72">
        <v>346</v>
      </c>
      <c r="I40" s="401">
        <v>406</v>
      </c>
      <c r="J40" s="401">
        <v>424</v>
      </c>
      <c r="K40" s="72">
        <v>126</v>
      </c>
      <c r="L40" s="399"/>
      <c r="M40" s="287"/>
      <c r="N40" s="302"/>
      <c r="O40" s="302"/>
      <c r="P40" s="303">
        <f t="shared" si="1"/>
        <v>0</v>
      </c>
      <c r="R40" s="85"/>
    </row>
    <row r="41" spans="1:18" x14ac:dyDescent="0.3">
      <c r="A41" s="458"/>
      <c r="B41" s="52">
        <v>0</v>
      </c>
      <c r="C41" s="70" t="s">
        <v>99</v>
      </c>
      <c r="D41" s="52" t="s">
        <v>102</v>
      </c>
      <c r="E41" s="369" t="s">
        <v>112</v>
      </c>
      <c r="F41" s="86"/>
      <c r="G41" s="71" t="str">
        <f>IF(C41=Lookups!$B$51,"DPR-2909",IF(C41=Lookups!$B$52,"DPR-2910","DPR-2911"))</f>
        <v>DPR-2909</v>
      </c>
      <c r="H41" s="72">
        <v>406</v>
      </c>
      <c r="I41" s="72">
        <v>441</v>
      </c>
      <c r="J41" s="72">
        <v>458</v>
      </c>
      <c r="K41" s="72">
        <v>147</v>
      </c>
      <c r="L41" s="399"/>
      <c r="M41" s="287"/>
      <c r="N41" s="302"/>
      <c r="O41" s="302"/>
      <c r="P41" s="303">
        <f t="shared" si="1"/>
        <v>0</v>
      </c>
      <c r="R41" s="85"/>
    </row>
    <row r="42" spans="1:18" x14ac:dyDescent="0.3">
      <c r="A42" s="458"/>
      <c r="B42" s="52">
        <v>0</v>
      </c>
      <c r="C42" s="70" t="s">
        <v>99</v>
      </c>
      <c r="D42" s="52" t="s">
        <v>102</v>
      </c>
      <c r="E42" s="369" t="s">
        <v>113</v>
      </c>
      <c r="F42" s="86"/>
      <c r="G42" s="71" t="str">
        <f>IF(C42=Lookups!$B$51,"DPR-2912",IF(C42=Lookups!$B$52,"DPR-2913","DPR-2914"))</f>
        <v>DPR-2912</v>
      </c>
      <c r="H42" s="72">
        <v>588</v>
      </c>
      <c r="I42" s="72">
        <v>623</v>
      </c>
      <c r="J42" s="72">
        <v>649</v>
      </c>
      <c r="K42" s="72">
        <v>147</v>
      </c>
      <c r="L42" s="399"/>
      <c r="M42" s="287"/>
      <c r="N42" s="302"/>
      <c r="O42" s="302"/>
      <c r="P42" s="303">
        <f t="shared" si="1"/>
        <v>0</v>
      </c>
      <c r="R42" s="85"/>
    </row>
    <row r="43" spans="1:18" x14ac:dyDescent="0.3">
      <c r="A43" s="458"/>
      <c r="B43" s="52">
        <v>0</v>
      </c>
      <c r="C43" s="70" t="s">
        <v>99</v>
      </c>
      <c r="D43" s="52" t="s">
        <v>102</v>
      </c>
      <c r="E43" s="369" t="s">
        <v>114</v>
      </c>
      <c r="F43" s="86"/>
      <c r="G43" s="71" t="str">
        <f>IF(C43=Lookups!$B$51,"DPR-2915",IF(C43=Lookups!$B$52,"DPR-2916","DPR-2917"))</f>
        <v>DPR-2915</v>
      </c>
      <c r="H43" s="72">
        <v>701</v>
      </c>
      <c r="I43" s="72">
        <v>718</v>
      </c>
      <c r="J43" s="72">
        <v>753</v>
      </c>
      <c r="K43" s="72">
        <v>209</v>
      </c>
      <c r="L43" s="399"/>
      <c r="M43" s="287"/>
      <c r="N43" s="302"/>
      <c r="O43" s="302"/>
      <c r="P43" s="303">
        <f t="shared" si="1"/>
        <v>0</v>
      </c>
      <c r="R43" s="85"/>
    </row>
    <row r="44" spans="1:18" x14ac:dyDescent="0.3">
      <c r="A44" s="458"/>
      <c r="B44" s="52">
        <v>0</v>
      </c>
      <c r="C44" s="70" t="s">
        <v>99</v>
      </c>
      <c r="D44" s="52" t="s">
        <v>102</v>
      </c>
      <c r="E44" s="369" t="s">
        <v>115</v>
      </c>
      <c r="F44" s="86"/>
      <c r="G44" s="71" t="str">
        <f>IF(C44=Lookups!$B$51,"DPR-2918",IF(C44=Lookups!$B$52,"DPR-2919","DPR-2920"))</f>
        <v>DPR-2918</v>
      </c>
      <c r="H44" s="401">
        <v>822</v>
      </c>
      <c r="I44" s="401">
        <v>892</v>
      </c>
      <c r="J44" s="401">
        <v>935</v>
      </c>
      <c r="K44" s="72">
        <v>262</v>
      </c>
      <c r="L44" s="399"/>
      <c r="M44" s="287"/>
      <c r="N44" s="302"/>
      <c r="O44" s="302"/>
      <c r="P44" s="303">
        <f t="shared" si="1"/>
        <v>0</v>
      </c>
    </row>
    <row r="45" spans="1:18" x14ac:dyDescent="0.3">
      <c r="A45" s="458"/>
      <c r="C45" s="36"/>
      <c r="D45" s="1"/>
      <c r="E45" s="418" t="s">
        <v>116</v>
      </c>
      <c r="F45" s="80"/>
      <c r="G45" s="76"/>
      <c r="H45" s="77"/>
      <c r="I45" s="77"/>
      <c r="J45" s="77"/>
      <c r="K45" s="77"/>
      <c r="L45" s="439"/>
      <c r="M45" s="282"/>
      <c r="N45" s="302"/>
      <c r="O45" s="302"/>
      <c r="P45" s="303"/>
      <c r="R45" s="85"/>
    </row>
    <row r="46" spans="1:18" x14ac:dyDescent="0.3">
      <c r="A46" s="458"/>
      <c r="C46" s="36"/>
      <c r="D46" s="1"/>
      <c r="E46" s="263" t="s">
        <v>117</v>
      </c>
      <c r="F46" s="76"/>
      <c r="G46" s="76"/>
      <c r="H46" s="77"/>
      <c r="I46" s="77"/>
      <c r="J46" s="77"/>
      <c r="K46" s="77"/>
      <c r="L46" s="442"/>
      <c r="M46" s="282"/>
      <c r="N46" s="302"/>
      <c r="O46" s="302"/>
      <c r="P46" s="302"/>
      <c r="R46" s="85"/>
    </row>
    <row r="47" spans="1:18" x14ac:dyDescent="0.3">
      <c r="A47" s="458"/>
      <c r="C47" s="36"/>
      <c r="D47" s="1"/>
      <c r="E47" s="76"/>
      <c r="F47" s="76"/>
      <c r="G47" s="76"/>
      <c r="H47" s="77"/>
      <c r="I47" s="77"/>
      <c r="J47" s="77"/>
      <c r="K47" s="77"/>
      <c r="L47" s="442"/>
      <c r="M47" s="282"/>
      <c r="N47" s="302"/>
      <c r="O47" s="302"/>
      <c r="P47" s="302"/>
      <c r="R47" s="85"/>
    </row>
    <row r="48" spans="1:18" ht="15" customHeight="1" x14ac:dyDescent="0.3">
      <c r="A48" s="458"/>
      <c r="B48" s="162"/>
      <c r="C48" s="162"/>
      <c r="D48" s="159"/>
      <c r="E48" s="183" t="s">
        <v>118</v>
      </c>
      <c r="F48" s="329"/>
      <c r="G48" s="329"/>
      <c r="H48" s="330"/>
      <c r="I48" s="177"/>
      <c r="J48" s="177"/>
      <c r="K48" s="177"/>
      <c r="L48" s="171"/>
      <c r="M48" s="281"/>
      <c r="N48" s="301"/>
      <c r="O48" s="301"/>
      <c r="P48" s="301"/>
    </row>
    <row r="49" spans="1:16" ht="15" customHeight="1" x14ac:dyDescent="0.3">
      <c r="A49" s="458"/>
      <c r="B49" s="161" t="s">
        <v>95</v>
      </c>
      <c r="C49" s="65" t="s">
        <v>96</v>
      </c>
      <c r="D49" s="161" t="s">
        <v>97</v>
      </c>
      <c r="E49" s="90" t="s">
        <v>119</v>
      </c>
      <c r="F49" s="86"/>
      <c r="G49" s="153"/>
      <c r="H49" s="68" t="s">
        <v>99</v>
      </c>
      <c r="I49" s="68" t="s">
        <v>100</v>
      </c>
      <c r="J49" s="68" t="s">
        <v>101</v>
      </c>
      <c r="K49" s="68" t="s">
        <v>97</v>
      </c>
      <c r="L49" s="442"/>
      <c r="M49" s="282"/>
      <c r="N49" s="302"/>
      <c r="O49" s="302"/>
      <c r="P49" s="303"/>
    </row>
    <row r="50" spans="1:16" x14ac:dyDescent="0.3">
      <c r="A50" s="458"/>
      <c r="B50" s="52">
        <v>0</v>
      </c>
      <c r="C50" s="70" t="s">
        <v>99</v>
      </c>
      <c r="D50" s="52" t="s">
        <v>102</v>
      </c>
      <c r="E50" s="369" t="s">
        <v>120</v>
      </c>
      <c r="F50" s="363"/>
      <c r="G50" s="71" t="str">
        <f>IF(C50=Lookups!$B$51,"DPR-2921",IF(C50=Lookups!$B$52,"DPR-2922","DPR-2923"))</f>
        <v>DPR-2921</v>
      </c>
      <c r="H50" s="72">
        <v>79</v>
      </c>
      <c r="I50" s="72">
        <v>99</v>
      </c>
      <c r="J50" s="72">
        <v>109</v>
      </c>
      <c r="K50" s="72">
        <v>79</v>
      </c>
      <c r="L50" s="442"/>
      <c r="M50" s="282"/>
      <c r="N50" s="302"/>
      <c r="O50" s="302"/>
      <c r="P50" s="303">
        <f>IF(AND(B50&gt;0,D50="Yes"),IF(C50=$H$49,($B50*H50)+(B50*K50),IF(C50=$I$49,($B50*I50)+(B50*K50),IF(C50=$J$49,($B50*J50)+(B50*K50),B50*J50))),IF(AND(B50&gt;0,D50="No"),IF(C50=$H$49,($B50*H50),IF(C50=$I$49,($B50*I50),IF(C50=$J$49,($B50*J50),B50*J50))),0))</f>
        <v>0</v>
      </c>
    </row>
    <row r="51" spans="1:16" x14ac:dyDescent="0.3">
      <c r="A51" s="458"/>
      <c r="B51" s="52">
        <v>0</v>
      </c>
      <c r="C51" s="70" t="s">
        <v>99</v>
      </c>
      <c r="D51" s="52" t="s">
        <v>102</v>
      </c>
      <c r="E51" s="369" t="s">
        <v>121</v>
      </c>
      <c r="F51" s="363"/>
      <c r="G51" s="71" t="str">
        <f>IF(C51=Lookups!$B$51,"DPR-2924",IF(C51=Lookups!$B$52,"DPR-2925","DPR-2926"))</f>
        <v>DPR-2924</v>
      </c>
      <c r="H51" s="401">
        <f>H50*2</f>
        <v>158</v>
      </c>
      <c r="I51" s="401">
        <f>I50*2</f>
        <v>198</v>
      </c>
      <c r="J51" s="401">
        <f>J50*2</f>
        <v>218</v>
      </c>
      <c r="K51" s="401">
        <v>95</v>
      </c>
      <c r="L51" s="442"/>
      <c r="M51" s="282"/>
      <c r="N51" s="302"/>
      <c r="O51" s="302"/>
      <c r="P51" s="303">
        <f>IF(AND(B51&gt;0,D51="Yes"),IF(C51=$H$49,($B51*H51)+(B51*K51),IF(C51=$I$49,($B51*I51)+(B51*K51),IF(C51=$J$49,($B51*J51)+(B51*K51),B51*J51))),IF(AND(B51&gt;0,D51="No"),IF(C51=$H$49,($B51*H51),IF(C51=$I$49,($B51*I51),IF(C51=$J$49,($B51*J51),B51*J51))),0))</f>
        <v>0</v>
      </c>
    </row>
    <row r="52" spans="1:16" x14ac:dyDescent="0.3">
      <c r="A52" s="458"/>
      <c r="B52" s="52">
        <v>0</v>
      </c>
      <c r="C52" s="70" t="s">
        <v>99</v>
      </c>
      <c r="D52" s="52" t="s">
        <v>102</v>
      </c>
      <c r="E52" s="369" t="s">
        <v>122</v>
      </c>
      <c r="F52" s="363"/>
      <c r="G52" s="71" t="str">
        <f>IF(C52=Lookups!$B$51,"DPR-2927",IF(C52=Lookups!$B$52,"DPR-2928","DPR-2929"))</f>
        <v>DPR-2927</v>
      </c>
      <c r="H52" s="401">
        <f>H50*3</f>
        <v>237</v>
      </c>
      <c r="I52" s="401">
        <f>I50*3</f>
        <v>297</v>
      </c>
      <c r="J52" s="401">
        <f>J50*3</f>
        <v>327</v>
      </c>
      <c r="K52" s="401">
        <v>111</v>
      </c>
      <c r="L52" s="442"/>
      <c r="M52" s="282"/>
      <c r="N52" s="302"/>
      <c r="O52" s="302"/>
      <c r="P52" s="303">
        <f>IF(AND(B52&gt;0,D52="Yes"),IF(C52=$H$49,($B52*H52)+(B52*K52),IF(C52=$I$49,($B52*I52)+(B52*K52),IF(C52=$J$49,($B52*J52)+(B52*K52),B52*J52))),IF(AND(B52&gt;0,D52="No"),IF(C52=$H$49,($B52*H52),IF(C52=$I$49,($B52*I52),IF(C52=$J$49,($B52*J52),B52*J52))),0))</f>
        <v>0</v>
      </c>
    </row>
    <row r="53" spans="1:16" x14ac:dyDescent="0.3">
      <c r="A53" s="458"/>
      <c r="B53" s="52">
        <v>0</v>
      </c>
      <c r="C53" s="70" t="s">
        <v>99</v>
      </c>
      <c r="D53" s="52" t="s">
        <v>102</v>
      </c>
      <c r="E53" s="369" t="s">
        <v>123</v>
      </c>
      <c r="F53" s="363"/>
      <c r="G53" s="71" t="str">
        <f>IF(C53=Lookups!$B$51,"DPR-2930",IF(C53=Lookups!$B$52,"DPR-2931","DPR-2932"))</f>
        <v>DPR-2930</v>
      </c>
      <c r="H53" s="401">
        <f>H50*4</f>
        <v>316</v>
      </c>
      <c r="I53" s="401">
        <f>I50*4</f>
        <v>396</v>
      </c>
      <c r="J53" s="401">
        <f>J50*4</f>
        <v>436</v>
      </c>
      <c r="K53" s="401">
        <v>127</v>
      </c>
      <c r="L53" s="442"/>
      <c r="M53" s="282"/>
      <c r="N53" s="302"/>
      <c r="O53" s="302"/>
      <c r="P53" s="303">
        <f>IF(AND(B53&gt;0,D53="Yes"),IF(C53=$H$49,($B53*H53)+(B53*K53),IF(C53=$I$49,($B53*I53)+(B53*K53),IF(C53=$J$49,($B53*J53)+(B53*K53),B53*J53))),IF(AND(B53&gt;0,D53="No"),IF(C53=$H$49,($B53*H53),IF(C53=$I$49,($B53*I53),IF(C53=$J$49,($B53*J53),B53*J53))),0))</f>
        <v>0</v>
      </c>
    </row>
    <row r="54" spans="1:16" x14ac:dyDescent="0.3">
      <c r="A54" s="458"/>
      <c r="B54" s="99"/>
      <c r="C54" s="73"/>
      <c r="D54" s="65"/>
      <c r="E54" s="418" t="s">
        <v>116</v>
      </c>
      <c r="F54" s="76"/>
      <c r="G54" s="76"/>
      <c r="H54" s="77"/>
      <c r="I54" s="77"/>
      <c r="J54" s="77"/>
      <c r="K54" s="77"/>
      <c r="L54" s="441"/>
      <c r="M54" s="285"/>
      <c r="N54" s="303"/>
      <c r="O54" s="303"/>
      <c r="P54" s="303"/>
    </row>
    <row r="55" spans="1:16" s="80" customFormat="1" x14ac:dyDescent="0.3">
      <c r="A55" s="458"/>
      <c r="B55" s="99"/>
      <c r="C55" s="73"/>
      <c r="D55" s="74"/>
      <c r="E55" s="75"/>
      <c r="F55" s="76"/>
      <c r="G55" s="76"/>
      <c r="H55" s="77"/>
      <c r="I55" s="77"/>
      <c r="J55" s="77"/>
      <c r="K55" s="77"/>
      <c r="L55" s="441"/>
      <c r="M55" s="285"/>
      <c r="N55" s="303"/>
      <c r="O55" s="303"/>
      <c r="P55" s="303"/>
    </row>
    <row r="56" spans="1:16" s="80" customFormat="1" x14ac:dyDescent="0.3">
      <c r="A56" s="458"/>
      <c r="B56" s="161" t="s">
        <v>95</v>
      </c>
      <c r="C56" s="65" t="s">
        <v>96</v>
      </c>
      <c r="D56" s="161" t="s">
        <v>97</v>
      </c>
      <c r="E56" s="75"/>
      <c r="F56" s="76"/>
      <c r="G56" s="76"/>
      <c r="H56" s="68" t="s">
        <v>99</v>
      </c>
      <c r="I56" s="68" t="s">
        <v>100</v>
      </c>
      <c r="J56" s="68" t="s">
        <v>101</v>
      </c>
      <c r="K56" s="68" t="s">
        <v>97</v>
      </c>
      <c r="L56" s="441"/>
      <c r="M56" s="285"/>
      <c r="N56" s="303"/>
      <c r="O56" s="303"/>
      <c r="P56" s="303"/>
    </row>
    <row r="57" spans="1:16" s="80" customFormat="1" x14ac:dyDescent="0.3">
      <c r="A57" s="458"/>
      <c r="B57" s="52">
        <v>0</v>
      </c>
      <c r="C57" s="70" t="s">
        <v>99</v>
      </c>
      <c r="D57" s="52" t="s">
        <v>102</v>
      </c>
      <c r="E57" s="90" t="s">
        <v>124</v>
      </c>
      <c r="F57" s="86"/>
      <c r="G57" s="87"/>
      <c r="H57" s="93">
        <v>0</v>
      </c>
      <c r="I57" s="93">
        <v>0</v>
      </c>
      <c r="J57" s="93">
        <v>0</v>
      </c>
      <c r="K57" s="93">
        <v>0</v>
      </c>
      <c r="L57" s="399"/>
      <c r="M57" s="287"/>
      <c r="N57" s="302"/>
      <c r="O57" s="302"/>
      <c r="P57" s="303">
        <f>IF(AND(B57&gt;0,D57="Yes"),IF(C57=$H$56,($B57*H57)+(B57*K57),IF(C57=$I$56,($B57*I57)+(B57*K57),IF(C57=$J$56,($B57*J57)+(B57*K57),B57*J57))),IF(AND(B57&gt;0,D57="No"),IF(C57=$H$56,($B57*H57),IF(C57=$I$56,($B57*I57),IF(C57=$J$56,($B57*J57),B57*J57))),0))</f>
        <v>0</v>
      </c>
    </row>
    <row r="58" spans="1:16" s="80" customFormat="1" x14ac:dyDescent="0.3">
      <c r="A58" s="458"/>
      <c r="B58" s="38"/>
      <c r="C58" s="36"/>
      <c r="D58" s="1"/>
      <c r="E58" s="45"/>
      <c r="F58" s="45"/>
      <c r="G58" s="45"/>
      <c r="H58" s="58"/>
      <c r="I58" s="58"/>
      <c r="J58" s="58"/>
      <c r="K58" s="58"/>
      <c r="L58" s="442"/>
      <c r="M58" s="282"/>
      <c r="N58" s="302"/>
      <c r="O58" s="302"/>
      <c r="P58" s="302"/>
    </row>
    <row r="59" spans="1:16" ht="15" customHeight="1" x14ac:dyDescent="0.3">
      <c r="A59" s="458"/>
      <c r="B59" s="162"/>
      <c r="C59" s="162"/>
      <c r="D59" s="159"/>
      <c r="E59" s="159" t="s">
        <v>282</v>
      </c>
      <c r="F59" s="110"/>
      <c r="G59" s="110"/>
      <c r="H59" s="111" t="s">
        <v>86</v>
      </c>
      <c r="I59" s="177"/>
      <c r="J59" s="112"/>
      <c r="K59" s="112"/>
      <c r="L59" s="171"/>
      <c r="M59" s="281"/>
      <c r="N59" s="301"/>
      <c r="O59" s="301"/>
      <c r="P59" s="301"/>
    </row>
    <row r="60" spans="1:16" ht="15" customHeight="1" x14ac:dyDescent="0.3">
      <c r="A60" s="458"/>
      <c r="B60" s="36">
        <f>SUM(B30,B39:B44,B50:B53,B57)</f>
        <v>0</v>
      </c>
      <c r="C60" s="53" t="s">
        <v>128</v>
      </c>
      <c r="D60" s="1"/>
      <c r="E60" s="54" t="s">
        <v>283</v>
      </c>
      <c r="F60" s="106"/>
      <c r="G60" s="87" t="s">
        <v>132</v>
      </c>
      <c r="H60" s="72">
        <v>175</v>
      </c>
      <c r="I60" s="77"/>
      <c r="J60" s="102"/>
      <c r="K60" s="102"/>
      <c r="L60" s="443"/>
      <c r="M60" s="282">
        <f>+H60*B60</f>
        <v>0</v>
      </c>
      <c r="N60" s="302"/>
      <c r="O60" s="302"/>
      <c r="P60" s="302"/>
    </row>
    <row r="61" spans="1:16" s="80" customFormat="1" x14ac:dyDescent="0.3">
      <c r="A61" s="458"/>
      <c r="B61" s="38"/>
      <c r="C61" s="36"/>
      <c r="D61" s="1"/>
      <c r="E61" s="45"/>
      <c r="F61" s="45"/>
      <c r="G61" s="45"/>
      <c r="H61" s="58"/>
      <c r="I61" s="58"/>
      <c r="J61" s="58"/>
      <c r="K61" s="58"/>
      <c r="L61" s="442"/>
      <c r="M61" s="282"/>
      <c r="N61" s="302"/>
      <c r="O61" s="302"/>
      <c r="P61" s="302"/>
    </row>
    <row r="62" spans="1:16" x14ac:dyDescent="0.3">
      <c r="A62" s="458"/>
      <c r="B62" s="253" t="s">
        <v>472</v>
      </c>
      <c r="C62" s="241"/>
      <c r="D62" s="242"/>
      <c r="E62" s="243"/>
      <c r="F62" s="243"/>
      <c r="G62" s="243"/>
      <c r="H62" s="244"/>
      <c r="I62" s="244"/>
      <c r="J62" s="244"/>
      <c r="K62" s="244"/>
      <c r="L62" s="245"/>
      <c r="M62" s="323"/>
      <c r="N62" s="325"/>
      <c r="O62" s="325"/>
      <c r="P62" s="325"/>
    </row>
    <row r="63" spans="1:16" ht="15.6" x14ac:dyDescent="0.3">
      <c r="A63" s="458"/>
      <c r="B63" s="255"/>
      <c r="C63" s="204"/>
      <c r="D63" s="157" t="s">
        <v>485</v>
      </c>
      <c r="E63" s="47"/>
      <c r="F63" s="47"/>
      <c r="G63" s="47"/>
      <c r="H63" s="48" t="s">
        <v>83</v>
      </c>
      <c r="I63" s="48"/>
      <c r="J63" s="48"/>
      <c r="K63" s="48"/>
      <c r="L63" s="170"/>
      <c r="M63" s="280">
        <f>SUM(M64:M90)</f>
        <v>0</v>
      </c>
      <c r="N63" s="300">
        <f>SUM(N64:N90)</f>
        <v>0</v>
      </c>
      <c r="O63" s="300">
        <f>SUM(O64:O90)</f>
        <v>0</v>
      </c>
      <c r="P63" s="300">
        <f>SUM(P64:P90)</f>
        <v>0</v>
      </c>
    </row>
    <row r="64" spans="1:16" x14ac:dyDescent="0.3">
      <c r="A64" s="458"/>
      <c r="B64" s="52">
        <v>0</v>
      </c>
      <c r="C64" s="92" t="s">
        <v>128</v>
      </c>
      <c r="D64" s="74"/>
      <c r="E64" s="90" t="s">
        <v>135</v>
      </c>
      <c r="F64" s="86"/>
      <c r="G64" s="84" t="s">
        <v>136</v>
      </c>
      <c r="H64" s="402">
        <v>110.25</v>
      </c>
      <c r="I64" s="38" t="s">
        <v>83</v>
      </c>
      <c r="J64" s="101"/>
      <c r="K64" s="101"/>
      <c r="L64" s="94"/>
      <c r="M64" s="282"/>
      <c r="N64" s="302"/>
      <c r="O64" s="302">
        <f>IF(B64&gt;0,Lookups!$B$68,0)</f>
        <v>0</v>
      </c>
      <c r="P64" s="302">
        <f>B64*H64</f>
        <v>0</v>
      </c>
    </row>
    <row r="65" spans="1:16" x14ac:dyDescent="0.3">
      <c r="A65" s="458"/>
      <c r="B65" s="52">
        <v>0</v>
      </c>
      <c r="C65" s="92" t="s">
        <v>128</v>
      </c>
      <c r="D65" s="74"/>
      <c r="E65" s="90" t="s">
        <v>137</v>
      </c>
      <c r="F65" s="86"/>
      <c r="G65" s="84" t="s">
        <v>138</v>
      </c>
      <c r="H65" s="402">
        <v>162.75</v>
      </c>
      <c r="I65" s="38" t="s">
        <v>83</v>
      </c>
      <c r="J65" s="101"/>
      <c r="K65" s="101"/>
      <c r="L65" s="94"/>
      <c r="M65" s="282"/>
      <c r="N65" s="302"/>
      <c r="O65" s="302">
        <f>IF(B65&gt;0,Lookups!$B$68,0)</f>
        <v>0</v>
      </c>
      <c r="P65" s="302">
        <f>B65*H65</f>
        <v>0</v>
      </c>
    </row>
    <row r="66" spans="1:16" x14ac:dyDescent="0.3">
      <c r="A66" s="458"/>
      <c r="B66" s="52">
        <v>0</v>
      </c>
      <c r="C66" s="92" t="s">
        <v>128</v>
      </c>
      <c r="D66" s="74"/>
      <c r="E66" s="90" t="s">
        <v>139</v>
      </c>
      <c r="F66" s="86"/>
      <c r="G66" s="84" t="s">
        <v>140</v>
      </c>
      <c r="H66" s="402">
        <v>225.75</v>
      </c>
      <c r="I66" s="38" t="s">
        <v>83</v>
      </c>
      <c r="J66" s="101"/>
      <c r="K66" s="101"/>
      <c r="L66" s="94"/>
      <c r="M66" s="282"/>
      <c r="N66" s="302"/>
      <c r="O66" s="302">
        <f>IF(B66&gt;0,Lookups!$B$68,0)</f>
        <v>0</v>
      </c>
      <c r="P66" s="302">
        <f>B66*H66</f>
        <v>0</v>
      </c>
    </row>
    <row r="67" spans="1:16" ht="15" x14ac:dyDescent="0.3">
      <c r="A67" s="458"/>
      <c r="B67" s="52">
        <v>0</v>
      </c>
      <c r="C67" s="92" t="s">
        <v>128</v>
      </c>
      <c r="D67" s="74"/>
      <c r="E67" s="90" t="s">
        <v>141</v>
      </c>
      <c r="F67" s="86"/>
      <c r="G67" s="84" t="s">
        <v>142</v>
      </c>
      <c r="H67" s="402">
        <v>325.5</v>
      </c>
      <c r="I67" s="38" t="s">
        <v>83</v>
      </c>
      <c r="J67" s="101"/>
      <c r="K67" s="101"/>
      <c r="L67" s="94"/>
      <c r="M67" s="289"/>
      <c r="N67" s="308"/>
      <c r="O67" s="302">
        <f>IF(B67&gt;0,Lookups!$B$68,0)</f>
        <v>0</v>
      </c>
      <c r="P67" s="302">
        <f>B67*H67</f>
        <v>0</v>
      </c>
    </row>
    <row r="68" spans="1:16" ht="15" customHeight="1" x14ac:dyDescent="0.3">
      <c r="A68" s="458"/>
      <c r="B68" s="36">
        <f>SUM(B64:B67)</f>
        <v>0</v>
      </c>
      <c r="C68" s="92" t="s">
        <v>128</v>
      </c>
      <c r="D68" s="1"/>
      <c r="E68" s="90" t="s">
        <v>143</v>
      </c>
      <c r="F68" s="107"/>
      <c r="G68" s="87" t="s">
        <v>144</v>
      </c>
      <c r="H68" s="72">
        <v>210</v>
      </c>
      <c r="I68" s="38" t="s">
        <v>86</v>
      </c>
      <c r="L68" s="105"/>
      <c r="M68" s="282">
        <f>+H68*B68</f>
        <v>0</v>
      </c>
      <c r="N68" s="302"/>
      <c r="O68" s="302"/>
      <c r="P68" s="302"/>
    </row>
    <row r="69" spans="1:16" x14ac:dyDescent="0.3">
      <c r="A69" s="458"/>
      <c r="B69" s="36"/>
      <c r="C69" s="36"/>
      <c r="D69" s="1"/>
      <c r="E69" s="75" t="s">
        <v>145</v>
      </c>
      <c r="F69" s="75"/>
      <c r="G69" s="45"/>
      <c r="H69" s="77"/>
      <c r="I69" s="38"/>
      <c r="J69" s="102"/>
      <c r="K69" s="102"/>
      <c r="L69" s="105"/>
      <c r="M69" s="282"/>
      <c r="N69" s="302"/>
      <c r="O69" s="302"/>
      <c r="P69" s="302"/>
    </row>
    <row r="70" spans="1:16" x14ac:dyDescent="0.3">
      <c r="A70" s="458"/>
      <c r="B70" s="36"/>
      <c r="C70" s="36"/>
      <c r="D70" s="1"/>
      <c r="E70" s="418" t="s">
        <v>301</v>
      </c>
      <c r="F70" s="75"/>
      <c r="G70" s="45"/>
      <c r="H70" s="77"/>
      <c r="I70" s="38"/>
      <c r="J70" s="102"/>
      <c r="K70" s="102"/>
      <c r="L70" s="105"/>
      <c r="M70" s="282"/>
      <c r="N70" s="302"/>
      <c r="O70" s="302"/>
      <c r="P70" s="302"/>
    </row>
    <row r="71" spans="1:16" x14ac:dyDescent="0.3">
      <c r="A71" s="458"/>
      <c r="B71" s="52">
        <v>0</v>
      </c>
      <c r="C71" s="92" t="s">
        <v>128</v>
      </c>
      <c r="D71" s="74"/>
      <c r="E71" s="90" t="s">
        <v>147</v>
      </c>
      <c r="F71" s="86"/>
      <c r="G71" s="84" t="s">
        <v>148</v>
      </c>
      <c r="H71" s="402">
        <v>63</v>
      </c>
      <c r="I71" s="38" t="s">
        <v>83</v>
      </c>
      <c r="J71" s="102"/>
      <c r="K71" s="102"/>
      <c r="L71" s="94"/>
      <c r="M71" s="282"/>
      <c r="N71" s="302"/>
      <c r="O71" s="302"/>
      <c r="P71" s="302">
        <f>B71*H71</f>
        <v>0</v>
      </c>
    </row>
    <row r="72" spans="1:16" x14ac:dyDescent="0.3">
      <c r="A72" s="458"/>
      <c r="B72" s="52">
        <v>0</v>
      </c>
      <c r="C72" s="92" t="s">
        <v>128</v>
      </c>
      <c r="D72" s="74"/>
      <c r="E72" s="90" t="s">
        <v>149</v>
      </c>
      <c r="F72" s="86"/>
      <c r="G72" s="84" t="s">
        <v>150</v>
      </c>
      <c r="H72" s="402">
        <v>94.5</v>
      </c>
      <c r="I72" s="38" t="s">
        <v>83</v>
      </c>
      <c r="J72" s="102"/>
      <c r="K72" s="102"/>
      <c r="L72" s="94"/>
      <c r="M72" s="282"/>
      <c r="N72" s="302"/>
      <c r="O72" s="302"/>
      <c r="P72" s="302">
        <f>B72*H72</f>
        <v>0</v>
      </c>
    </row>
    <row r="73" spans="1:16" x14ac:dyDescent="0.3">
      <c r="A73" s="458"/>
      <c r="B73" s="52">
        <v>0</v>
      </c>
      <c r="C73" s="92" t="s">
        <v>128</v>
      </c>
      <c r="D73" s="74"/>
      <c r="E73" s="90" t="s">
        <v>151</v>
      </c>
      <c r="F73" s="86"/>
      <c r="G73" s="84" t="s">
        <v>152</v>
      </c>
      <c r="H73" s="402">
        <v>120.75</v>
      </c>
      <c r="I73" s="38" t="s">
        <v>83</v>
      </c>
      <c r="J73" s="102"/>
      <c r="K73" s="102"/>
      <c r="L73" s="94"/>
      <c r="M73" s="282"/>
      <c r="N73" s="302"/>
      <c r="O73" s="302"/>
      <c r="P73" s="302">
        <f>B73*H73</f>
        <v>0</v>
      </c>
    </row>
    <row r="74" spans="1:16" x14ac:dyDescent="0.3">
      <c r="A74" s="458"/>
      <c r="B74" s="52">
        <v>0</v>
      </c>
      <c r="C74" s="92" t="s">
        <v>128</v>
      </c>
      <c r="D74" s="74"/>
      <c r="E74" s="90" t="s">
        <v>153</v>
      </c>
      <c r="F74" s="86"/>
      <c r="G74" s="84" t="s">
        <v>154</v>
      </c>
      <c r="H74" s="402">
        <v>162.75</v>
      </c>
      <c r="I74" s="38" t="s">
        <v>83</v>
      </c>
      <c r="J74" s="102"/>
      <c r="K74" s="102"/>
      <c r="L74" s="94"/>
      <c r="M74" s="289"/>
      <c r="N74" s="308"/>
      <c r="O74" s="302"/>
      <c r="P74" s="302">
        <f>B74*H74</f>
        <v>0</v>
      </c>
    </row>
    <row r="75" spans="1:16" x14ac:dyDescent="0.3">
      <c r="A75" s="458"/>
      <c r="B75" s="36">
        <f>SUM(B71:B74)</f>
        <v>0</v>
      </c>
      <c r="C75" s="92" t="s">
        <v>128</v>
      </c>
      <c r="D75" s="1"/>
      <c r="E75" s="90" t="s">
        <v>155</v>
      </c>
      <c r="F75" s="107"/>
      <c r="G75" s="87" t="s">
        <v>156</v>
      </c>
      <c r="H75" s="72">
        <v>105</v>
      </c>
      <c r="I75" s="38" t="s">
        <v>86</v>
      </c>
      <c r="L75" s="105"/>
      <c r="M75" s="282">
        <f>+H75*B75</f>
        <v>0</v>
      </c>
      <c r="N75" s="302"/>
      <c r="O75" s="302"/>
      <c r="P75" s="302"/>
    </row>
    <row r="76" spans="1:16" x14ac:dyDescent="0.3">
      <c r="A76" s="458"/>
      <c r="B76" s="36"/>
      <c r="C76" s="36"/>
      <c r="D76" s="1"/>
      <c r="E76" s="75"/>
      <c r="F76" s="75"/>
      <c r="G76" s="45"/>
      <c r="H76" s="77"/>
      <c r="I76" s="38"/>
      <c r="J76" s="102"/>
      <c r="K76" s="102"/>
      <c r="L76" s="105"/>
      <c r="M76" s="282"/>
      <c r="N76" s="302"/>
      <c r="O76" s="302"/>
      <c r="P76" s="302"/>
    </row>
    <row r="77" spans="1:16" x14ac:dyDescent="0.3">
      <c r="A77" s="458"/>
      <c r="B77" s="52">
        <v>0</v>
      </c>
      <c r="C77" s="92" t="s">
        <v>128</v>
      </c>
      <c r="D77" s="74"/>
      <c r="E77" s="90" t="s">
        <v>157</v>
      </c>
      <c r="F77" s="211"/>
      <c r="G77" s="84" t="s">
        <v>158</v>
      </c>
      <c r="H77" s="402">
        <v>15.75</v>
      </c>
      <c r="I77" s="38" t="s">
        <v>83</v>
      </c>
      <c r="J77" s="101"/>
      <c r="K77" s="101"/>
      <c r="L77" s="100"/>
      <c r="M77" s="282"/>
      <c r="N77" s="302"/>
      <c r="O77" s="302">
        <f>IF(B77&gt;0,Lookups!$B$69,0)</f>
        <v>0</v>
      </c>
      <c r="P77" s="302">
        <f>B77*H77</f>
        <v>0</v>
      </c>
    </row>
    <row r="78" spans="1:16" x14ac:dyDescent="0.3">
      <c r="A78" s="458"/>
      <c r="B78" s="52">
        <v>0</v>
      </c>
      <c r="C78" s="92" t="s">
        <v>128</v>
      </c>
      <c r="D78" s="74"/>
      <c r="E78" s="90" t="s">
        <v>159</v>
      </c>
      <c r="F78" s="86"/>
      <c r="G78" s="84" t="s">
        <v>160</v>
      </c>
      <c r="H78" s="402">
        <v>21</v>
      </c>
      <c r="I78" s="38" t="s">
        <v>83</v>
      </c>
      <c r="J78" s="101"/>
      <c r="K78" s="101"/>
      <c r="L78" s="100"/>
      <c r="M78" s="282"/>
      <c r="N78" s="302"/>
      <c r="O78" s="302">
        <f>IF(B78&gt;0,Lookups!$B$69,0)</f>
        <v>0</v>
      </c>
      <c r="P78" s="302">
        <f>B78*H78</f>
        <v>0</v>
      </c>
    </row>
    <row r="79" spans="1:16" x14ac:dyDescent="0.3">
      <c r="A79" s="458"/>
      <c r="B79" s="52">
        <v>0</v>
      </c>
      <c r="C79" s="92" t="s">
        <v>128</v>
      </c>
      <c r="D79" s="74"/>
      <c r="E79" s="90" t="s">
        <v>161</v>
      </c>
      <c r="F79" s="86"/>
      <c r="G79" s="84" t="s">
        <v>162</v>
      </c>
      <c r="H79" s="402">
        <v>31.5</v>
      </c>
      <c r="I79" s="38" t="s">
        <v>83</v>
      </c>
      <c r="J79" s="101"/>
      <c r="K79" s="101"/>
      <c r="L79" s="94"/>
      <c r="M79" s="282"/>
      <c r="N79" s="302"/>
      <c r="O79" s="302">
        <f>IF(B79&gt;0,Lookups!$B$69,0)</f>
        <v>0</v>
      </c>
      <c r="P79" s="302">
        <f>B79*H79</f>
        <v>0</v>
      </c>
    </row>
    <row r="80" spans="1:16" s="80" customFormat="1" x14ac:dyDescent="0.3">
      <c r="A80" s="458"/>
      <c r="B80" s="52">
        <v>0</v>
      </c>
      <c r="C80" s="92" t="s">
        <v>128</v>
      </c>
      <c r="D80" s="74"/>
      <c r="E80" s="90" t="s">
        <v>163</v>
      </c>
      <c r="F80" s="86"/>
      <c r="G80" s="84" t="s">
        <v>164</v>
      </c>
      <c r="H80" s="402">
        <v>26.25</v>
      </c>
      <c r="I80" s="99" t="s">
        <v>83</v>
      </c>
      <c r="J80" s="387"/>
      <c r="K80" s="387"/>
      <c r="L80" s="388"/>
      <c r="M80" s="285"/>
      <c r="N80" s="303"/>
      <c r="O80" s="303">
        <f>IF(B80&gt;0,Lookups!$B$69,0)</f>
        <v>0</v>
      </c>
      <c r="P80" s="303">
        <f t="shared" ref="P80:P81" si="2">B80*H80</f>
        <v>0</v>
      </c>
    </row>
    <row r="81" spans="1:16" s="80" customFormat="1" x14ac:dyDescent="0.3">
      <c r="A81" s="458"/>
      <c r="B81" s="52">
        <v>0</v>
      </c>
      <c r="C81" s="92" t="s">
        <v>128</v>
      </c>
      <c r="D81" s="74"/>
      <c r="E81" s="90" t="s">
        <v>165</v>
      </c>
      <c r="F81" s="86"/>
      <c r="G81" s="84" t="s">
        <v>166</v>
      </c>
      <c r="H81" s="402">
        <v>35</v>
      </c>
      <c r="I81" s="99" t="s">
        <v>83</v>
      </c>
      <c r="J81" s="387"/>
      <c r="K81" s="387"/>
      <c r="L81" s="388"/>
      <c r="M81" s="285"/>
      <c r="N81" s="303"/>
      <c r="O81" s="303">
        <f>IF(B81&gt;0,Lookups!$B$69,0)</f>
        <v>0</v>
      </c>
      <c r="P81" s="303">
        <f t="shared" si="2"/>
        <v>0</v>
      </c>
    </row>
    <row r="82" spans="1:16" x14ac:dyDescent="0.3">
      <c r="A82" s="458"/>
      <c r="B82" s="36"/>
      <c r="C82" s="36"/>
      <c r="D82" s="1"/>
      <c r="E82" s="75"/>
      <c r="F82" s="75"/>
      <c r="G82" s="76"/>
      <c r="H82" s="77"/>
      <c r="J82" s="102"/>
      <c r="K82" s="102"/>
      <c r="L82" s="105"/>
      <c r="M82" s="282"/>
      <c r="N82" s="302"/>
      <c r="O82" s="302"/>
      <c r="P82" s="302"/>
    </row>
    <row r="83" spans="1:16" x14ac:dyDescent="0.3">
      <c r="A83" s="458"/>
      <c r="B83" s="70">
        <v>0</v>
      </c>
      <c r="C83" s="92" t="s">
        <v>128</v>
      </c>
      <c r="D83" s="74"/>
      <c r="E83" s="90" t="s">
        <v>167</v>
      </c>
      <c r="F83" s="86"/>
      <c r="G83" s="84" t="s">
        <v>168</v>
      </c>
      <c r="H83" s="402">
        <v>7.88</v>
      </c>
      <c r="I83" s="99" t="s">
        <v>83</v>
      </c>
      <c r="J83" s="387"/>
      <c r="K83" s="387"/>
      <c r="L83" s="388"/>
      <c r="M83" s="285"/>
      <c r="N83" s="303"/>
      <c r="O83" s="303"/>
      <c r="P83" s="303">
        <f t="shared" ref="P83" si="3">B83*H83</f>
        <v>0</v>
      </c>
    </row>
    <row r="84" spans="1:16" x14ac:dyDescent="0.3">
      <c r="A84" s="458"/>
      <c r="B84" s="36"/>
      <c r="C84" s="36"/>
      <c r="D84" s="1"/>
      <c r="E84" s="75"/>
      <c r="F84" s="75"/>
      <c r="G84" s="76"/>
      <c r="H84" s="77"/>
      <c r="J84" s="102"/>
      <c r="K84" s="102"/>
      <c r="L84" s="105"/>
      <c r="M84" s="282"/>
      <c r="N84" s="302"/>
      <c r="O84" s="302"/>
      <c r="P84" s="302"/>
    </row>
    <row r="85" spans="1:16" x14ac:dyDescent="0.3">
      <c r="A85" s="458"/>
      <c r="B85" s="52">
        <v>0</v>
      </c>
      <c r="C85" s="92" t="s">
        <v>128</v>
      </c>
      <c r="D85" s="74"/>
      <c r="E85" s="90" t="s">
        <v>169</v>
      </c>
      <c r="F85" s="86"/>
      <c r="G85" s="84" t="s">
        <v>170</v>
      </c>
      <c r="H85" s="402">
        <v>85</v>
      </c>
      <c r="I85" s="38" t="s">
        <v>75</v>
      </c>
      <c r="J85" s="101"/>
      <c r="K85" s="101"/>
      <c r="L85" s="94"/>
      <c r="M85" s="282"/>
      <c r="N85" s="302">
        <f>B85*H85</f>
        <v>0</v>
      </c>
      <c r="O85" s="302">
        <f>IF(B85&gt;0,Lookups!$B$71,0)</f>
        <v>0</v>
      </c>
      <c r="P85" s="302"/>
    </row>
    <row r="86" spans="1:16" x14ac:dyDescent="0.3">
      <c r="A86" s="458"/>
      <c r="B86" s="52">
        <v>0</v>
      </c>
      <c r="C86" s="92" t="s">
        <v>128</v>
      </c>
      <c r="D86" s="74"/>
      <c r="E86" s="90" t="s">
        <v>171</v>
      </c>
      <c r="F86" s="86"/>
      <c r="G86" s="84" t="s">
        <v>172</v>
      </c>
      <c r="H86" s="402">
        <v>165</v>
      </c>
      <c r="I86" s="38" t="s">
        <v>75</v>
      </c>
      <c r="J86" s="101"/>
      <c r="K86" s="101"/>
      <c r="L86" s="94"/>
      <c r="M86" s="282"/>
      <c r="N86" s="302">
        <f>B86*H86</f>
        <v>0</v>
      </c>
      <c r="O86" s="302">
        <f>IF(B86&gt;0,Lookups!$B$71,0)</f>
        <v>0</v>
      </c>
      <c r="P86" s="302"/>
    </row>
    <row r="87" spans="1:16" x14ac:dyDescent="0.3">
      <c r="A87" s="458"/>
      <c r="B87" s="73"/>
      <c r="C87" s="73"/>
      <c r="D87" s="74"/>
      <c r="E87" s="103" t="s">
        <v>173</v>
      </c>
      <c r="G87" s="64"/>
      <c r="H87" s="104"/>
      <c r="J87" s="102"/>
      <c r="K87" s="102"/>
      <c r="L87" s="105"/>
      <c r="M87" s="282"/>
      <c r="N87" s="302"/>
      <c r="O87" s="302"/>
      <c r="P87" s="302"/>
    </row>
    <row r="88" spans="1:16" ht="15" x14ac:dyDescent="0.3">
      <c r="A88" s="458"/>
      <c r="B88" s="73"/>
      <c r="C88" s="73"/>
      <c r="D88" s="74"/>
      <c r="E88" s="75" t="s">
        <v>174</v>
      </c>
      <c r="G88" s="64"/>
      <c r="H88" s="104"/>
      <c r="J88" s="102"/>
      <c r="K88" s="102"/>
      <c r="L88" s="105"/>
      <c r="M88" s="282"/>
      <c r="N88" s="302"/>
      <c r="O88" s="302"/>
      <c r="P88" s="302"/>
    </row>
    <row r="89" spans="1:16" x14ac:dyDescent="0.3">
      <c r="A89" s="458"/>
      <c r="B89" s="36"/>
      <c r="C89" s="36"/>
      <c r="D89" s="1"/>
      <c r="E89" s="75"/>
      <c r="F89" s="75"/>
      <c r="G89" s="45"/>
      <c r="H89" s="58"/>
      <c r="J89" s="102"/>
      <c r="K89" s="102"/>
      <c r="L89" s="105"/>
      <c r="M89" s="282"/>
      <c r="N89" s="302"/>
      <c r="O89" s="302"/>
      <c r="P89" s="302"/>
    </row>
    <row r="90" spans="1:16" x14ac:dyDescent="0.3">
      <c r="A90" s="458"/>
      <c r="B90" s="36"/>
      <c r="C90" s="36"/>
      <c r="D90" s="1"/>
      <c r="E90" s="75"/>
      <c r="F90" s="75"/>
      <c r="G90" s="45"/>
      <c r="H90" s="58"/>
      <c r="J90" s="102"/>
      <c r="K90" s="102"/>
      <c r="L90" s="105"/>
      <c r="M90" s="282"/>
      <c r="N90" s="302"/>
      <c r="O90" s="302"/>
      <c r="P90" s="302"/>
    </row>
    <row r="91" spans="1:16" ht="15" customHeight="1" x14ac:dyDescent="0.3">
      <c r="A91" s="458"/>
      <c r="B91" s="203"/>
      <c r="C91" s="204"/>
      <c r="D91" s="157" t="s">
        <v>486</v>
      </c>
      <c r="E91" s="47"/>
      <c r="F91" s="47"/>
      <c r="G91" s="47"/>
      <c r="H91" s="48"/>
      <c r="I91" s="49"/>
      <c r="J91" s="49"/>
      <c r="K91" s="49"/>
      <c r="L91" s="170"/>
      <c r="M91" s="280">
        <f>SUM(M92:M100)</f>
        <v>0</v>
      </c>
      <c r="N91" s="300">
        <f t="shared" ref="N91:P91" si="4">SUM(N92:N100)</f>
        <v>0</v>
      </c>
      <c r="O91" s="300">
        <f>SUM(O92:O100)</f>
        <v>0</v>
      </c>
      <c r="P91" s="300">
        <f t="shared" si="4"/>
        <v>0</v>
      </c>
    </row>
    <row r="92" spans="1:16" ht="15.6" x14ac:dyDescent="0.3">
      <c r="A92" s="458"/>
      <c r="B92" s="52">
        <v>0</v>
      </c>
      <c r="C92" s="92" t="s">
        <v>176</v>
      </c>
      <c r="D92" s="174"/>
      <c r="E92" s="90" t="s">
        <v>177</v>
      </c>
      <c r="F92" s="86"/>
      <c r="G92" s="86" t="s">
        <v>178</v>
      </c>
      <c r="H92" s="402">
        <v>10.5</v>
      </c>
      <c r="I92" s="390" t="s">
        <v>83</v>
      </c>
      <c r="J92" s="77"/>
      <c r="K92" s="77"/>
      <c r="L92" s="77"/>
      <c r="M92" s="290"/>
      <c r="N92" s="303"/>
      <c r="O92" s="303"/>
      <c r="P92" s="303">
        <f>+H92*B92</f>
        <v>0</v>
      </c>
    </row>
    <row r="93" spans="1:16" s="80" customFormat="1" ht="15.6" x14ac:dyDescent="0.3">
      <c r="A93" s="458"/>
      <c r="B93" s="52">
        <v>0</v>
      </c>
      <c r="C93" s="92" t="s">
        <v>176</v>
      </c>
      <c r="D93" s="174"/>
      <c r="E93" s="472" t="s">
        <v>179</v>
      </c>
      <c r="F93" s="473"/>
      <c r="G93" s="86" t="s">
        <v>180</v>
      </c>
      <c r="H93" s="402">
        <v>10.5</v>
      </c>
      <c r="I93" s="390" t="s">
        <v>83</v>
      </c>
      <c r="J93" s="77"/>
      <c r="K93" s="77"/>
      <c r="L93" s="77"/>
      <c r="M93" s="290"/>
      <c r="N93" s="303"/>
      <c r="O93" s="302">
        <f>IF(B93&gt;0,Lookups!$B$72,0)</f>
        <v>0</v>
      </c>
      <c r="P93" s="303">
        <f>+H93*B93</f>
        <v>0</v>
      </c>
    </row>
    <row r="94" spans="1:16" s="80" customFormat="1" ht="15.6" x14ac:dyDescent="0.3">
      <c r="A94" s="458"/>
      <c r="B94" s="52">
        <v>0</v>
      </c>
      <c r="C94" s="92" t="s">
        <v>176</v>
      </c>
      <c r="D94" s="174"/>
      <c r="E94" s="472" t="s">
        <v>181</v>
      </c>
      <c r="F94" s="473"/>
      <c r="G94" s="86" t="s">
        <v>182</v>
      </c>
      <c r="H94" s="402">
        <v>15.75</v>
      </c>
      <c r="I94" s="390" t="s">
        <v>83</v>
      </c>
      <c r="J94" s="77"/>
      <c r="K94" s="77"/>
      <c r="L94" s="77"/>
      <c r="M94" s="290"/>
      <c r="N94" s="303"/>
      <c r="O94" s="302">
        <f>IF(B94&gt;0,Lookups!$B$72,0)</f>
        <v>0</v>
      </c>
      <c r="P94" s="303">
        <f>+H94*B94</f>
        <v>0</v>
      </c>
    </row>
    <row r="95" spans="1:16" s="80" customFormat="1" x14ac:dyDescent="0.3">
      <c r="A95" s="458"/>
      <c r="B95" s="52">
        <v>0</v>
      </c>
      <c r="C95" s="92" t="s">
        <v>176</v>
      </c>
      <c r="D95" s="74"/>
      <c r="E95" s="90" t="s">
        <v>183</v>
      </c>
      <c r="F95" s="67"/>
      <c r="G95" s="86" t="s">
        <v>184</v>
      </c>
      <c r="H95" s="402">
        <v>87.5</v>
      </c>
      <c r="I95" s="390" t="s">
        <v>86</v>
      </c>
      <c r="J95" s="74"/>
      <c r="K95" s="74"/>
      <c r="L95" s="113"/>
      <c r="M95" s="285">
        <f>+H95*B95</f>
        <v>0</v>
      </c>
      <c r="N95" s="303"/>
      <c r="O95" s="317"/>
      <c r="P95" s="317"/>
    </row>
    <row r="96" spans="1:16" s="80" customFormat="1" x14ac:dyDescent="0.3">
      <c r="A96" s="458"/>
      <c r="B96" s="52">
        <v>0</v>
      </c>
      <c r="C96" s="92" t="s">
        <v>176</v>
      </c>
      <c r="D96" s="74"/>
      <c r="E96" s="90" t="s">
        <v>185</v>
      </c>
      <c r="F96" s="67"/>
      <c r="G96" s="86" t="s">
        <v>186</v>
      </c>
      <c r="H96" s="402">
        <v>225</v>
      </c>
      <c r="I96" s="390" t="s">
        <v>86</v>
      </c>
      <c r="J96" s="74"/>
      <c r="K96" s="74"/>
      <c r="L96" s="113"/>
      <c r="M96" s="285">
        <f>+H96*B96</f>
        <v>0</v>
      </c>
      <c r="N96" s="303"/>
      <c r="O96" s="317"/>
      <c r="P96" s="317"/>
    </row>
    <row r="97" spans="1:16" s="80" customFormat="1" ht="15" customHeight="1" x14ac:dyDescent="0.3">
      <c r="A97" s="458"/>
      <c r="B97" s="52">
        <v>0</v>
      </c>
      <c r="C97" s="53" t="s">
        <v>187</v>
      </c>
      <c r="D97" s="1"/>
      <c r="E97" s="474" t="s">
        <v>188</v>
      </c>
      <c r="F97" s="475"/>
      <c r="G97" s="138"/>
      <c r="H97" s="402">
        <v>225</v>
      </c>
      <c r="I97" s="390" t="s">
        <v>86</v>
      </c>
      <c r="J97" s="1"/>
      <c r="K97" s="1"/>
      <c r="L97" s="37"/>
      <c r="M97" s="282">
        <f>+H97*B97</f>
        <v>0</v>
      </c>
      <c r="N97" s="302"/>
      <c r="O97" s="302"/>
      <c r="P97" s="302"/>
    </row>
    <row r="98" spans="1:16" x14ac:dyDescent="0.3">
      <c r="A98" s="458"/>
      <c r="C98" s="36"/>
      <c r="D98" s="1"/>
      <c r="E98" s="74" t="s">
        <v>189</v>
      </c>
      <c r="F98" s="64"/>
      <c r="G98" s="64"/>
      <c r="H98" s="104"/>
      <c r="I98" s="80"/>
      <c r="J98" s="1"/>
      <c r="K98" s="1"/>
      <c r="L98" s="62"/>
      <c r="M98" s="284"/>
      <c r="N98" s="304"/>
      <c r="O98" s="304"/>
      <c r="P98" s="304"/>
    </row>
    <row r="99" spans="1:16" x14ac:dyDescent="0.3">
      <c r="A99" s="458"/>
      <c r="C99" s="36"/>
      <c r="D99" s="1"/>
      <c r="E99" s="60"/>
      <c r="F99" s="64"/>
      <c r="G99" s="64"/>
      <c r="H99" s="104"/>
      <c r="I99" s="80"/>
      <c r="J99" s="1"/>
      <c r="K99" s="1"/>
      <c r="L99" s="62"/>
      <c r="M99" s="284"/>
      <c r="N99" s="304"/>
      <c r="O99" s="304"/>
      <c r="P99" s="304"/>
    </row>
    <row r="100" spans="1:16" x14ac:dyDescent="0.3">
      <c r="A100" s="458"/>
      <c r="C100" s="36"/>
      <c r="D100" s="1"/>
      <c r="E100" s="60"/>
      <c r="F100" s="64"/>
      <c r="G100" s="64"/>
      <c r="H100" s="104"/>
      <c r="I100" s="80"/>
      <c r="J100" s="1"/>
      <c r="K100" s="1"/>
      <c r="L100" s="62"/>
      <c r="M100" s="284"/>
      <c r="N100" s="304"/>
      <c r="O100" s="304"/>
      <c r="P100" s="304"/>
    </row>
    <row r="101" spans="1:16" ht="15.6" x14ac:dyDescent="0.3">
      <c r="A101" s="458"/>
      <c r="B101" s="203"/>
      <c r="C101" s="204"/>
      <c r="D101" s="157" t="s">
        <v>487</v>
      </c>
      <c r="E101" s="47"/>
      <c r="F101" s="47"/>
      <c r="G101" s="47"/>
      <c r="H101" s="48" t="s">
        <v>83</v>
      </c>
      <c r="I101" s="48" t="s">
        <v>93</v>
      </c>
      <c r="J101" s="49"/>
      <c r="K101" s="49"/>
      <c r="L101" s="170"/>
      <c r="M101" s="280">
        <f>SUM(M102:M139)</f>
        <v>0</v>
      </c>
      <c r="N101" s="300">
        <f>SUM(N102:N139)</f>
        <v>0</v>
      </c>
      <c r="O101" s="300">
        <f>SUM(O102:O139)</f>
        <v>0</v>
      </c>
      <c r="P101" s="300">
        <f>SUM(P102:P139)</f>
        <v>0</v>
      </c>
    </row>
    <row r="102" spans="1:16" s="80" customFormat="1" ht="15" customHeight="1" x14ac:dyDescent="0.3">
      <c r="A102" s="458"/>
      <c r="B102" s="162"/>
      <c r="C102" s="162"/>
      <c r="D102" s="159" t="s">
        <v>199</v>
      </c>
      <c r="E102" s="159"/>
      <c r="F102" s="110"/>
      <c r="G102" s="110"/>
      <c r="H102" s="111"/>
      <c r="I102" s="177"/>
      <c r="J102" s="112"/>
      <c r="K102" s="112"/>
      <c r="L102" s="171"/>
      <c r="M102" s="281"/>
      <c r="N102" s="301"/>
      <c r="O102" s="301"/>
      <c r="P102" s="301"/>
    </row>
    <row r="103" spans="1:16" ht="15" customHeight="1" x14ac:dyDescent="0.3">
      <c r="A103" s="458"/>
      <c r="B103" s="52">
        <v>0</v>
      </c>
      <c r="C103" s="92" t="s">
        <v>128</v>
      </c>
      <c r="D103" s="1"/>
      <c r="E103" s="84" t="s">
        <v>200</v>
      </c>
      <c r="F103" s="114"/>
      <c r="G103" s="87" t="s">
        <v>201</v>
      </c>
      <c r="H103" s="72">
        <v>31.5</v>
      </c>
      <c r="I103" s="390" t="s">
        <v>83</v>
      </c>
      <c r="L103" s="97"/>
      <c r="M103" s="278"/>
      <c r="N103" s="29"/>
      <c r="O103" s="302">
        <f>IF(B103&gt;0,Lookups!$B$69,0)</f>
        <v>0</v>
      </c>
      <c r="P103" s="302">
        <f t="shared" ref="P103:P111" si="5">B103*H103</f>
        <v>0</v>
      </c>
    </row>
    <row r="104" spans="1:16" ht="15" customHeight="1" x14ac:dyDescent="0.3">
      <c r="A104" s="458"/>
      <c r="B104" s="52">
        <v>0</v>
      </c>
      <c r="C104" s="92" t="s">
        <v>128</v>
      </c>
      <c r="D104" s="1"/>
      <c r="E104" s="126" t="s">
        <v>202</v>
      </c>
      <c r="F104" s="395"/>
      <c r="G104" s="59" t="s">
        <v>203</v>
      </c>
      <c r="H104" s="72">
        <v>68.25</v>
      </c>
      <c r="I104" s="390" t="s">
        <v>83</v>
      </c>
      <c r="L104" s="97"/>
      <c r="M104" s="278"/>
      <c r="N104" s="29"/>
      <c r="O104" s="304">
        <f>IF(B104&gt;0,Lookups!$B$69,0)</f>
        <v>0</v>
      </c>
      <c r="P104" s="304">
        <f t="shared" ref="P104:P108" si="6">B104*H104</f>
        <v>0</v>
      </c>
    </row>
    <row r="105" spans="1:16" ht="15" customHeight="1" x14ac:dyDescent="0.3">
      <c r="A105" s="458"/>
      <c r="B105" s="52">
        <v>0</v>
      </c>
      <c r="C105" s="92" t="s">
        <v>128</v>
      </c>
      <c r="D105" s="1"/>
      <c r="E105" s="126" t="s">
        <v>204</v>
      </c>
      <c r="F105" s="395"/>
      <c r="G105" s="59" t="s">
        <v>205</v>
      </c>
      <c r="H105" s="72">
        <v>78.75</v>
      </c>
      <c r="I105" s="390" t="s">
        <v>83</v>
      </c>
      <c r="L105" s="97"/>
      <c r="M105" s="278"/>
      <c r="N105" s="29"/>
      <c r="O105" s="304">
        <f>IF(B105&gt;0,Lookups!$B$69,0)</f>
        <v>0</v>
      </c>
      <c r="P105" s="304">
        <f t="shared" si="6"/>
        <v>0</v>
      </c>
    </row>
    <row r="106" spans="1:16" ht="15" customHeight="1" x14ac:dyDescent="0.3">
      <c r="A106" s="458"/>
      <c r="B106" s="52">
        <v>0</v>
      </c>
      <c r="C106" s="92" t="s">
        <v>128</v>
      </c>
      <c r="D106" s="1"/>
      <c r="E106" s="126" t="s">
        <v>206</v>
      </c>
      <c r="F106" s="395"/>
      <c r="G106" s="59" t="s">
        <v>207</v>
      </c>
      <c r="H106" s="72">
        <v>94.5</v>
      </c>
      <c r="I106" s="390" t="s">
        <v>83</v>
      </c>
      <c r="L106" s="97"/>
      <c r="M106" s="278"/>
      <c r="N106" s="29"/>
      <c r="O106" s="304">
        <f>IF(B106&gt;0,Lookups!$B$69,0)</f>
        <v>0</v>
      </c>
      <c r="P106" s="304">
        <f t="shared" si="6"/>
        <v>0</v>
      </c>
    </row>
    <row r="107" spans="1:16" ht="15" customHeight="1" x14ac:dyDescent="0.3">
      <c r="A107" s="458"/>
      <c r="B107" s="52">
        <v>0</v>
      </c>
      <c r="C107" s="92" t="s">
        <v>128</v>
      </c>
      <c r="D107" s="1"/>
      <c r="E107" s="126" t="s">
        <v>208</v>
      </c>
      <c r="F107" s="395"/>
      <c r="G107" s="59" t="s">
        <v>209</v>
      </c>
      <c r="H107" s="72">
        <v>105</v>
      </c>
      <c r="I107" s="390" t="s">
        <v>83</v>
      </c>
      <c r="L107" s="97"/>
      <c r="M107" s="278"/>
      <c r="N107" s="29"/>
      <c r="O107" s="304">
        <f>IF(B107&gt;0,Lookups!$B$69,0)</f>
        <v>0</v>
      </c>
      <c r="P107" s="304">
        <f t="shared" si="6"/>
        <v>0</v>
      </c>
    </row>
    <row r="108" spans="1:16" x14ac:dyDescent="0.3">
      <c r="A108" s="458"/>
      <c r="B108" s="52">
        <v>0</v>
      </c>
      <c r="C108" s="92" t="s">
        <v>128</v>
      </c>
      <c r="D108" s="1"/>
      <c r="E108" s="126" t="s">
        <v>210</v>
      </c>
      <c r="F108" s="115"/>
      <c r="G108" s="87" t="s">
        <v>211</v>
      </c>
      <c r="H108" s="72">
        <v>72</v>
      </c>
      <c r="I108" s="390" t="s">
        <v>83</v>
      </c>
      <c r="L108" s="97"/>
      <c r="M108" s="278"/>
      <c r="N108" s="29"/>
      <c r="O108" s="302">
        <f>IF(B108&gt;0,Lookups!$B$69,0)</f>
        <v>0</v>
      </c>
      <c r="P108" s="302">
        <f t="shared" si="6"/>
        <v>0</v>
      </c>
    </row>
    <row r="109" spans="1:16" ht="15" customHeight="1" x14ac:dyDescent="0.3">
      <c r="A109" s="458"/>
      <c r="B109" s="52">
        <v>0</v>
      </c>
      <c r="C109" s="92" t="s">
        <v>128</v>
      </c>
      <c r="D109" s="1"/>
      <c r="E109" s="54" t="s">
        <v>212</v>
      </c>
      <c r="F109" s="107"/>
      <c r="G109" s="59" t="s">
        <v>213</v>
      </c>
      <c r="H109" s="72">
        <v>81</v>
      </c>
      <c r="I109" s="390" t="s">
        <v>83</v>
      </c>
      <c r="L109" s="97"/>
      <c r="M109" s="278"/>
      <c r="N109" s="29"/>
      <c r="O109" s="302">
        <f>IF(B109&gt;0,Lookups!$B$69,0)</f>
        <v>0</v>
      </c>
      <c r="P109" s="302">
        <f t="shared" si="5"/>
        <v>0</v>
      </c>
    </row>
    <row r="110" spans="1:16" ht="15" customHeight="1" x14ac:dyDescent="0.3">
      <c r="A110" s="458"/>
      <c r="B110" s="52">
        <v>0</v>
      </c>
      <c r="C110" s="92" t="s">
        <v>128</v>
      </c>
      <c r="D110" s="1"/>
      <c r="E110" s="54" t="s">
        <v>214</v>
      </c>
      <c r="F110" s="150"/>
      <c r="G110" s="87" t="s">
        <v>215</v>
      </c>
      <c r="H110" s="72">
        <v>113</v>
      </c>
      <c r="I110" s="390" t="s">
        <v>83</v>
      </c>
      <c r="L110" s="172"/>
      <c r="M110" s="278"/>
      <c r="N110" s="29"/>
      <c r="O110" s="302">
        <f>IF(B110&gt;0,Lookups!$B$69,0)</f>
        <v>0</v>
      </c>
      <c r="P110" s="304">
        <f t="shared" si="5"/>
        <v>0</v>
      </c>
    </row>
    <row r="111" spans="1:16" ht="15" customHeight="1" x14ac:dyDescent="0.3">
      <c r="A111" s="458"/>
      <c r="B111" s="52">
        <v>0</v>
      </c>
      <c r="C111" s="92" t="s">
        <v>128</v>
      </c>
      <c r="D111" s="1"/>
      <c r="E111" s="54" t="s">
        <v>216</v>
      </c>
      <c r="F111" s="150"/>
      <c r="G111" s="87" t="s">
        <v>217</v>
      </c>
      <c r="H111" s="72">
        <v>134</v>
      </c>
      <c r="I111" s="390" t="s">
        <v>83</v>
      </c>
      <c r="L111" s="172"/>
      <c r="M111" s="278"/>
      <c r="N111" s="29"/>
      <c r="O111" s="302">
        <f>IF(B111&gt;0,Lookups!$B$69,0)</f>
        <v>0</v>
      </c>
      <c r="P111" s="304">
        <f t="shared" si="5"/>
        <v>0</v>
      </c>
    </row>
    <row r="112" spans="1:16" ht="15" customHeight="1" x14ac:dyDescent="0.3">
      <c r="A112" s="458"/>
      <c r="B112" s="162"/>
      <c r="C112" s="162"/>
      <c r="D112" s="159" t="s">
        <v>218</v>
      </c>
      <c r="E112" s="159"/>
      <c r="F112" s="110"/>
      <c r="G112" s="110"/>
      <c r="H112" s="330"/>
      <c r="I112" s="391"/>
      <c r="J112" s="112"/>
      <c r="K112" s="112"/>
      <c r="L112" s="171"/>
      <c r="M112" s="281"/>
      <c r="N112" s="301"/>
      <c r="O112" s="301"/>
      <c r="P112" s="301"/>
    </row>
    <row r="113" spans="1:16" ht="15" customHeight="1" x14ac:dyDescent="0.3">
      <c r="A113" s="458"/>
      <c r="B113" s="52">
        <v>0</v>
      </c>
      <c r="C113" s="92" t="s">
        <v>128</v>
      </c>
      <c r="D113" s="1"/>
      <c r="E113" s="485" t="s">
        <v>219</v>
      </c>
      <c r="F113" s="486"/>
      <c r="G113" s="87" t="s">
        <v>220</v>
      </c>
      <c r="H113" s="72">
        <v>23</v>
      </c>
      <c r="I113" s="390" t="s">
        <v>83</v>
      </c>
      <c r="L113" s="97"/>
      <c r="M113" s="278"/>
      <c r="N113" s="29"/>
      <c r="O113" s="302">
        <f>IF(B113&gt;0,Lookups!$B$69,0)</f>
        <v>0</v>
      </c>
      <c r="P113" s="302">
        <f>B113*H113</f>
        <v>0</v>
      </c>
    </row>
    <row r="114" spans="1:16" x14ac:dyDescent="0.3">
      <c r="A114" s="458"/>
      <c r="B114" s="52">
        <v>0</v>
      </c>
      <c r="C114" s="92" t="s">
        <v>128</v>
      </c>
      <c r="D114" s="1"/>
      <c r="E114" s="54" t="s">
        <v>221</v>
      </c>
      <c r="F114" s="107"/>
      <c r="G114" s="87" t="s">
        <v>222</v>
      </c>
      <c r="H114" s="72">
        <v>36.75</v>
      </c>
      <c r="I114" s="390" t="s">
        <v>83</v>
      </c>
      <c r="L114" s="97"/>
      <c r="M114" s="278"/>
      <c r="N114" s="29"/>
      <c r="O114" s="302">
        <f>IF(B114&gt;0,Lookups!$B$69,0)</f>
        <v>0</v>
      </c>
      <c r="P114" s="302">
        <f>B114*H114</f>
        <v>0</v>
      </c>
    </row>
    <row r="115" spans="1:16" s="218" customFormat="1" x14ac:dyDescent="0.3">
      <c r="A115" s="458"/>
      <c r="B115" s="52">
        <v>0</v>
      </c>
      <c r="C115" s="92" t="s">
        <v>128</v>
      </c>
      <c r="D115" s="74"/>
      <c r="E115" s="54" t="s">
        <v>223</v>
      </c>
      <c r="F115" s="107"/>
      <c r="G115" s="87" t="s">
        <v>224</v>
      </c>
      <c r="H115" s="72">
        <v>63</v>
      </c>
      <c r="I115" s="390" t="s">
        <v>83</v>
      </c>
      <c r="J115" s="80"/>
      <c r="K115" s="80"/>
      <c r="L115" s="219"/>
      <c r="M115" s="292"/>
      <c r="N115" s="311"/>
      <c r="O115" s="302">
        <f>IF(B115&gt;0,Lookups!$B$69,0)</f>
        <v>0</v>
      </c>
      <c r="P115" s="303">
        <f>B115*H115</f>
        <v>0</v>
      </c>
    </row>
    <row r="116" spans="1:16" ht="15" customHeight="1" x14ac:dyDescent="0.3">
      <c r="A116" s="458"/>
      <c r="B116" s="52">
        <v>0</v>
      </c>
      <c r="C116" s="92" t="s">
        <v>128</v>
      </c>
      <c r="D116" s="1"/>
      <c r="E116" s="54" t="s">
        <v>225</v>
      </c>
      <c r="F116" s="107"/>
      <c r="G116" s="59" t="s">
        <v>226</v>
      </c>
      <c r="H116" s="72">
        <v>89.25</v>
      </c>
      <c r="I116" s="390" t="s">
        <v>83</v>
      </c>
      <c r="L116" s="97"/>
      <c r="M116" s="278"/>
      <c r="N116" s="29"/>
      <c r="O116" s="302">
        <f>IF(B116&gt;0,Lookups!$B$69,0)</f>
        <v>0</v>
      </c>
      <c r="P116" s="302">
        <f>B116*H116</f>
        <v>0</v>
      </c>
    </row>
    <row r="117" spans="1:16" ht="15" customHeight="1" x14ac:dyDescent="0.3">
      <c r="A117" s="458"/>
      <c r="B117" s="393"/>
      <c r="C117" s="73"/>
      <c r="D117" s="1"/>
      <c r="E117" s="64"/>
      <c r="F117" s="423"/>
      <c r="G117" s="45"/>
      <c r="H117" s="77"/>
      <c r="I117" s="390"/>
      <c r="L117" s="97"/>
      <c r="M117" s="278"/>
      <c r="N117" s="29"/>
      <c r="O117" s="302"/>
      <c r="P117" s="302"/>
    </row>
    <row r="118" spans="1:16" ht="15" customHeight="1" x14ac:dyDescent="0.3">
      <c r="A118" s="458"/>
      <c r="B118" s="52">
        <v>0</v>
      </c>
      <c r="C118" s="92" t="s">
        <v>128</v>
      </c>
      <c r="D118" s="1"/>
      <c r="E118" s="54" t="s">
        <v>227</v>
      </c>
      <c r="F118" s="107"/>
      <c r="G118" s="59" t="s">
        <v>228</v>
      </c>
      <c r="H118" s="72">
        <v>21</v>
      </c>
      <c r="I118" s="390" t="s">
        <v>83</v>
      </c>
      <c r="L118" s="97"/>
      <c r="M118" s="278"/>
      <c r="N118" s="29"/>
      <c r="O118" s="302"/>
      <c r="P118" s="302">
        <f>B118*H118</f>
        <v>0</v>
      </c>
    </row>
    <row r="119" spans="1:16" ht="15" customHeight="1" x14ac:dyDescent="0.3">
      <c r="A119" s="458"/>
      <c r="B119" s="393"/>
      <c r="C119" s="73"/>
      <c r="D119" s="1"/>
      <c r="E119" s="64"/>
      <c r="F119" s="423"/>
      <c r="G119" s="45"/>
      <c r="H119" s="77"/>
      <c r="I119" s="390"/>
      <c r="L119" s="97"/>
      <c r="M119" s="278"/>
      <c r="N119" s="29"/>
      <c r="O119" s="302"/>
      <c r="P119" s="302"/>
    </row>
    <row r="120" spans="1:16" ht="15" customHeight="1" x14ac:dyDescent="0.3">
      <c r="A120" s="458"/>
      <c r="B120" s="162"/>
      <c r="C120" s="162"/>
      <c r="D120" s="159" t="s">
        <v>229</v>
      </c>
      <c r="E120" s="159"/>
      <c r="F120" s="110"/>
      <c r="G120" s="110"/>
      <c r="H120" s="111"/>
      <c r="I120" s="391"/>
      <c r="J120" s="112"/>
      <c r="K120" s="112"/>
      <c r="L120" s="171"/>
      <c r="M120" s="281"/>
      <c r="N120" s="301"/>
      <c r="O120" s="301"/>
      <c r="P120" s="301"/>
    </row>
    <row r="121" spans="1:16" ht="15" customHeight="1" x14ac:dyDescent="0.3">
      <c r="A121" s="458"/>
      <c r="B121" s="99">
        <f>SUM(B103:B118)</f>
        <v>0</v>
      </c>
      <c r="C121" s="92" t="s">
        <v>128</v>
      </c>
      <c r="E121" s="90" t="s">
        <v>230</v>
      </c>
      <c r="F121" s="107"/>
      <c r="G121" s="59" t="s">
        <v>231</v>
      </c>
      <c r="H121" s="72">
        <v>52.5</v>
      </c>
      <c r="I121" s="390" t="s">
        <v>86</v>
      </c>
      <c r="J121" s="51"/>
      <c r="K121" s="51"/>
      <c r="L121"/>
      <c r="M121" s="282">
        <f>B121*H121</f>
        <v>0</v>
      </c>
      <c r="N121" s="29"/>
      <c r="O121" s="29"/>
      <c r="P121" s="29"/>
    </row>
    <row r="122" spans="1:16" x14ac:dyDescent="0.3">
      <c r="A122" s="458"/>
      <c r="C122" s="36"/>
      <c r="D122" s="1"/>
      <c r="E122" s="141" t="s">
        <v>232</v>
      </c>
      <c r="F122" s="81"/>
      <c r="G122" s="64"/>
      <c r="H122" s="104"/>
      <c r="J122" s="1"/>
      <c r="K122" s="1"/>
      <c r="L122" s="62"/>
      <c r="M122" s="284"/>
      <c r="N122" s="304"/>
      <c r="O122" s="304"/>
      <c r="P122" s="304"/>
    </row>
    <row r="123" spans="1:16" ht="15" customHeight="1" x14ac:dyDescent="0.3">
      <c r="A123" s="458"/>
      <c r="C123" s="36"/>
      <c r="D123" s="1"/>
      <c r="E123" s="60" t="s">
        <v>233</v>
      </c>
      <c r="F123" s="64"/>
      <c r="G123" s="64"/>
      <c r="H123" s="104"/>
      <c r="J123" s="1"/>
      <c r="K123" s="1"/>
      <c r="L123" s="62"/>
      <c r="M123" s="284"/>
      <c r="N123" s="304"/>
      <c r="O123" s="304"/>
      <c r="P123" s="304"/>
    </row>
    <row r="124" spans="1:16" ht="15" customHeight="1" x14ac:dyDescent="0.3">
      <c r="A124" s="458"/>
      <c r="C124" s="36"/>
      <c r="D124" s="1"/>
      <c r="E124" s="60"/>
      <c r="F124" s="64"/>
      <c r="G124" s="64"/>
      <c r="H124" s="104"/>
      <c r="J124" s="1"/>
      <c r="K124" s="1"/>
      <c r="L124" s="62"/>
      <c r="M124" s="284"/>
      <c r="N124" s="304"/>
      <c r="O124" s="304"/>
      <c r="P124" s="304"/>
    </row>
    <row r="125" spans="1:16" ht="15" customHeight="1" x14ac:dyDescent="0.3">
      <c r="A125" s="458"/>
      <c r="C125" s="116" t="s">
        <v>234</v>
      </c>
      <c r="L125" s="62"/>
      <c r="M125" s="284"/>
      <c r="N125" s="304"/>
      <c r="O125" s="304"/>
      <c r="P125" s="304"/>
    </row>
    <row r="126" spans="1:16" ht="15" customHeight="1" x14ac:dyDescent="0.3">
      <c r="A126" s="458"/>
      <c r="C126" s="136" t="s">
        <v>235</v>
      </c>
      <c r="D126" s="80"/>
      <c r="E126" s="80"/>
      <c r="F126" s="80"/>
      <c r="G126" s="80"/>
      <c r="L126" s="62"/>
      <c r="M126" s="284"/>
      <c r="N126" s="304"/>
      <c r="O126" s="304"/>
      <c r="P126" s="304"/>
    </row>
    <row r="127" spans="1:16" ht="15" customHeight="1" x14ac:dyDescent="0.3">
      <c r="A127" s="458"/>
      <c r="C127" s="117" t="s">
        <v>236</v>
      </c>
      <c r="D127" s="117" t="s">
        <v>237</v>
      </c>
      <c r="E127" s="117" t="s">
        <v>238</v>
      </c>
      <c r="F127" s="117" t="s">
        <v>239</v>
      </c>
      <c r="G127" s="117" t="s">
        <v>240</v>
      </c>
      <c r="H127" s="488" t="s">
        <v>66</v>
      </c>
      <c r="I127" s="488"/>
      <c r="J127" s="488"/>
      <c r="K127" s="136"/>
      <c r="L127" s="62"/>
      <c r="M127" s="284"/>
      <c r="N127" s="304"/>
      <c r="O127" s="304"/>
      <c r="P127" s="304"/>
    </row>
    <row r="128" spans="1:16" ht="15" customHeight="1" x14ac:dyDescent="0.3">
      <c r="A128" s="458"/>
      <c r="C128" s="118" t="s">
        <v>241</v>
      </c>
      <c r="D128" s="118">
        <v>8</v>
      </c>
      <c r="E128" s="119">
        <v>130</v>
      </c>
      <c r="F128" s="120">
        <f>E128/15.4</f>
        <v>8.4415584415584419</v>
      </c>
      <c r="G128" s="120">
        <v>4</v>
      </c>
      <c r="H128" s="478" t="s">
        <v>242</v>
      </c>
      <c r="I128" s="479"/>
      <c r="J128" s="480"/>
      <c r="L128" s="62"/>
      <c r="M128" s="284"/>
      <c r="N128" s="304"/>
      <c r="O128" s="304"/>
      <c r="P128" s="304"/>
    </row>
    <row r="129" spans="1:34" ht="15" customHeight="1" x14ac:dyDescent="0.3">
      <c r="A129" s="458"/>
      <c r="C129" s="118" t="s">
        <v>243</v>
      </c>
      <c r="D129" s="118">
        <v>24</v>
      </c>
      <c r="E129" s="119">
        <v>185</v>
      </c>
      <c r="F129" s="120">
        <v>12</v>
      </c>
      <c r="G129" s="120">
        <v>6</v>
      </c>
      <c r="H129" s="137" t="s">
        <v>244</v>
      </c>
      <c r="I129" s="396"/>
      <c r="J129" s="397"/>
      <c r="L129" s="62"/>
      <c r="M129" s="284"/>
      <c r="N129" s="304"/>
      <c r="O129" s="304"/>
      <c r="P129" s="304"/>
    </row>
    <row r="130" spans="1:34" ht="15" customHeight="1" x14ac:dyDescent="0.3">
      <c r="A130" s="458"/>
      <c r="C130" s="118" t="s">
        <v>245</v>
      </c>
      <c r="D130" s="118">
        <v>24</v>
      </c>
      <c r="E130" s="119">
        <v>370</v>
      </c>
      <c r="F130" s="120">
        <v>24</v>
      </c>
      <c r="G130" s="120">
        <v>12</v>
      </c>
      <c r="H130" s="137" t="s">
        <v>244</v>
      </c>
      <c r="I130" s="396"/>
      <c r="J130" s="397"/>
      <c r="L130" s="62"/>
      <c r="M130" s="284"/>
      <c r="N130" s="304"/>
      <c r="O130" s="304"/>
      <c r="P130" s="304"/>
    </row>
    <row r="131" spans="1:34" ht="15" customHeight="1" x14ac:dyDescent="0.3">
      <c r="A131" s="458"/>
      <c r="C131" s="118" t="s">
        <v>246</v>
      </c>
      <c r="D131" s="118">
        <v>48</v>
      </c>
      <c r="E131" s="119">
        <v>370</v>
      </c>
      <c r="F131" s="120">
        <v>24</v>
      </c>
      <c r="G131" s="120">
        <v>12</v>
      </c>
      <c r="H131" s="137" t="s">
        <v>244</v>
      </c>
      <c r="I131" s="396"/>
      <c r="J131" s="397"/>
      <c r="L131" s="62"/>
      <c r="M131" s="284"/>
      <c r="N131" s="304"/>
      <c r="O131" s="304"/>
      <c r="P131" s="304"/>
    </row>
    <row r="132" spans="1:34" ht="15" customHeight="1" x14ac:dyDescent="0.3">
      <c r="A132" s="458"/>
      <c r="C132" s="118" t="s">
        <v>247</v>
      </c>
      <c r="D132" s="118">
        <v>48</v>
      </c>
      <c r="E132" s="119">
        <v>740</v>
      </c>
      <c r="F132" s="120">
        <v>48</v>
      </c>
      <c r="G132" s="120">
        <v>24</v>
      </c>
      <c r="H132" s="137" t="s">
        <v>244</v>
      </c>
      <c r="I132" s="396"/>
      <c r="J132" s="397"/>
      <c r="L132" s="62"/>
      <c r="M132" s="284"/>
      <c r="N132" s="304"/>
      <c r="O132" s="304"/>
      <c r="P132" s="304"/>
    </row>
    <row r="133" spans="1:34" ht="15" customHeight="1" x14ac:dyDescent="0.3">
      <c r="A133" s="458"/>
      <c r="C133" s="118" t="s">
        <v>248</v>
      </c>
      <c r="D133" s="118">
        <v>24</v>
      </c>
      <c r="E133" s="119">
        <v>180</v>
      </c>
      <c r="F133" s="120">
        <f>E133/15.4</f>
        <v>11.688311688311687</v>
      </c>
      <c r="G133" s="120">
        <v>6</v>
      </c>
      <c r="H133" s="481" t="s">
        <v>244</v>
      </c>
      <c r="I133" s="482"/>
      <c r="J133" s="483"/>
      <c r="K133" s="80"/>
      <c r="L133" s="62"/>
      <c r="M133" s="284"/>
      <c r="N133" s="304"/>
      <c r="O133" s="304"/>
      <c r="P133" s="304"/>
    </row>
    <row r="134" spans="1:34" ht="15" customHeight="1" x14ac:dyDescent="0.3">
      <c r="A134" s="458"/>
      <c r="C134" s="118" t="s">
        <v>249</v>
      </c>
      <c r="D134" s="118">
        <v>24</v>
      </c>
      <c r="E134" s="119">
        <v>370</v>
      </c>
      <c r="F134" s="120">
        <f t="shared" ref="F134:F136" si="7">E134/15.4</f>
        <v>24.025974025974026</v>
      </c>
      <c r="G134" s="120">
        <v>12</v>
      </c>
      <c r="H134" s="481" t="s">
        <v>250</v>
      </c>
      <c r="I134" s="482"/>
      <c r="J134" s="483"/>
      <c r="K134" s="80"/>
      <c r="L134" s="62"/>
      <c r="M134" s="284"/>
      <c r="N134" s="304"/>
      <c r="O134" s="304"/>
      <c r="P134" s="304"/>
    </row>
    <row r="135" spans="1:34" ht="15" customHeight="1" x14ac:dyDescent="0.3">
      <c r="A135" s="458"/>
      <c r="C135" s="118" t="s">
        <v>251</v>
      </c>
      <c r="D135" s="118">
        <v>48</v>
      </c>
      <c r="E135" s="119">
        <v>370</v>
      </c>
      <c r="F135" s="120">
        <f t="shared" si="7"/>
        <v>24.025974025974026</v>
      </c>
      <c r="G135" s="120">
        <v>12</v>
      </c>
      <c r="H135" s="481" t="s">
        <v>244</v>
      </c>
      <c r="I135" s="482"/>
      <c r="J135" s="483"/>
      <c r="K135" s="80"/>
      <c r="L135" s="62"/>
      <c r="M135" s="284"/>
      <c r="N135" s="304"/>
      <c r="O135" s="304"/>
      <c r="P135" s="304"/>
    </row>
    <row r="136" spans="1:34" ht="15" customHeight="1" x14ac:dyDescent="0.3">
      <c r="A136" s="458"/>
      <c r="C136" s="118" t="s">
        <v>252</v>
      </c>
      <c r="D136" s="118">
        <v>48</v>
      </c>
      <c r="E136" s="119">
        <v>740</v>
      </c>
      <c r="F136" s="120">
        <f t="shared" si="7"/>
        <v>48.051948051948052</v>
      </c>
      <c r="G136" s="120">
        <v>24</v>
      </c>
      <c r="H136" s="484" t="s">
        <v>244</v>
      </c>
      <c r="I136" s="484"/>
      <c r="J136" s="484"/>
      <c r="K136" s="80"/>
      <c r="L136" s="62"/>
      <c r="M136" s="284"/>
      <c r="N136" s="304"/>
      <c r="O136" s="304"/>
      <c r="P136" s="304"/>
    </row>
    <row r="137" spans="1:34" ht="15" customHeight="1" x14ac:dyDescent="0.3">
      <c r="A137" s="458"/>
      <c r="C137"/>
      <c r="H137" s="121" t="s">
        <v>253</v>
      </c>
      <c r="L137" s="62"/>
      <c r="M137" s="284"/>
      <c r="N137" s="304"/>
      <c r="O137" s="304"/>
      <c r="P137" s="304"/>
    </row>
    <row r="138" spans="1:34" ht="15" customHeight="1" x14ac:dyDescent="0.3">
      <c r="A138" s="458"/>
      <c r="C138"/>
      <c r="H138" s="121"/>
      <c r="L138" s="62"/>
      <c r="M138" s="284"/>
      <c r="N138" s="304"/>
      <c r="O138" s="304"/>
      <c r="P138" s="304"/>
    </row>
    <row r="139" spans="1:34" x14ac:dyDescent="0.3">
      <c r="A139" s="458"/>
      <c r="D139" s="38"/>
      <c r="E139" s="38"/>
      <c r="F139" s="38"/>
      <c r="G139" s="38"/>
      <c r="H139" s="38"/>
      <c r="I139" s="38"/>
      <c r="J139" s="38"/>
      <c r="K139" s="38"/>
      <c r="L139" s="38"/>
      <c r="M139" s="288"/>
      <c r="N139" s="306"/>
      <c r="O139" s="306"/>
      <c r="P139" s="306"/>
    </row>
    <row r="140" spans="1:34" ht="15.6" x14ac:dyDescent="0.3">
      <c r="A140" s="398"/>
      <c r="B140" s="203"/>
      <c r="C140" s="204"/>
      <c r="D140" s="157" t="s">
        <v>259</v>
      </c>
      <c r="E140" s="47"/>
      <c r="F140" s="47"/>
      <c r="G140" s="47"/>
      <c r="H140" s="48"/>
      <c r="I140" s="48"/>
      <c r="J140" s="48"/>
      <c r="K140" s="48"/>
      <c r="L140" s="170"/>
      <c r="M140" s="280">
        <f>SUM(M141:M145)</f>
        <v>0</v>
      </c>
      <c r="N140" s="300">
        <f t="shared" ref="N140:P140" si="8">SUM(N141:N145)</f>
        <v>0</v>
      </c>
      <c r="O140" s="300">
        <f>SUM(O141:O145)</f>
        <v>0</v>
      </c>
      <c r="P140" s="300">
        <f t="shared" si="8"/>
        <v>0</v>
      </c>
      <c r="AG140" s="57"/>
      <c r="AH140" s="57"/>
    </row>
    <row r="141" spans="1:34" x14ac:dyDescent="0.3">
      <c r="A141" s="398"/>
      <c r="B141" s="52">
        <v>0</v>
      </c>
      <c r="C141" s="53" t="s">
        <v>176</v>
      </c>
      <c r="E141" s="123" t="s">
        <v>260</v>
      </c>
      <c r="F141" s="125"/>
      <c r="G141" s="126"/>
      <c r="H141" s="93">
        <v>0</v>
      </c>
      <c r="I141" s="390" t="s">
        <v>83</v>
      </c>
      <c r="J141" s="39"/>
      <c r="K141" s="39"/>
      <c r="M141" s="282"/>
      <c r="N141" s="306"/>
      <c r="O141" s="307"/>
      <c r="P141" s="307">
        <f>+B141*H141</f>
        <v>0</v>
      </c>
    </row>
    <row r="142" spans="1:34" x14ac:dyDescent="0.3">
      <c r="A142" s="398"/>
      <c r="B142" s="52">
        <v>0</v>
      </c>
      <c r="C142" s="53" t="s">
        <v>176</v>
      </c>
      <c r="E142" s="123" t="s">
        <v>261</v>
      </c>
      <c r="F142" s="125"/>
      <c r="G142" s="126"/>
      <c r="H142" s="93">
        <v>0</v>
      </c>
      <c r="I142" s="390" t="s">
        <v>86</v>
      </c>
      <c r="J142" s="39"/>
      <c r="K142" s="39"/>
      <c r="M142" s="282">
        <f>+B142*H142</f>
        <v>0</v>
      </c>
      <c r="N142" s="306"/>
      <c r="O142" s="307"/>
      <c r="P142" s="307"/>
    </row>
    <row r="143" spans="1:34" x14ac:dyDescent="0.3">
      <c r="A143" s="398"/>
      <c r="B143" s="52">
        <v>0</v>
      </c>
      <c r="C143" s="53" t="s">
        <v>176</v>
      </c>
      <c r="E143" s="123" t="s">
        <v>262</v>
      </c>
      <c r="F143" s="125"/>
      <c r="G143" s="126"/>
      <c r="H143" s="93">
        <v>0</v>
      </c>
      <c r="I143" s="38" t="s">
        <v>75</v>
      </c>
      <c r="J143" s="39"/>
      <c r="K143" s="39"/>
      <c r="M143" s="282"/>
      <c r="N143" s="302">
        <f>+B143*H143</f>
        <v>0</v>
      </c>
      <c r="O143" s="307"/>
      <c r="P143" s="307"/>
    </row>
    <row r="144" spans="1:34" ht="15" x14ac:dyDescent="0.3">
      <c r="A144" s="398"/>
      <c r="E144" s="252" t="s">
        <v>263</v>
      </c>
      <c r="L144"/>
      <c r="M144" s="288"/>
      <c r="N144" s="306"/>
      <c r="O144" s="306"/>
      <c r="P144" s="306"/>
    </row>
    <row r="145" spans="1:16" x14ac:dyDescent="0.3">
      <c r="A145" s="398"/>
      <c r="L145"/>
      <c r="M145" s="288"/>
      <c r="N145" s="306"/>
      <c r="O145" s="306"/>
      <c r="P145" s="306"/>
    </row>
    <row r="146" spans="1:16" ht="15.6" x14ac:dyDescent="0.3">
      <c r="A146" s="496"/>
      <c r="B146" s="163" t="s">
        <v>264</v>
      </c>
      <c r="C146" s="155"/>
      <c r="D146" s="24"/>
      <c r="E146" s="24"/>
      <c r="F146" s="127"/>
      <c r="G146" s="127"/>
      <c r="H146" s="128"/>
      <c r="I146" s="128"/>
      <c r="J146" s="24"/>
      <c r="K146" s="24"/>
      <c r="L146" s="129"/>
      <c r="M146" s="294">
        <f>M14+M22+M27+M63+M91+M101+M140</f>
        <v>0</v>
      </c>
      <c r="N146" s="312">
        <f>N14+N22+N27+N63+N91+N101+N140</f>
        <v>0</v>
      </c>
      <c r="O146" s="312">
        <f>O14+O22+O27+O63+O91+O101+O140</f>
        <v>0</v>
      </c>
      <c r="P146" s="312">
        <f>P14+P22+P27+P63+P91+P101+P140</f>
        <v>0</v>
      </c>
    </row>
    <row r="147" spans="1:16" ht="10.5" customHeight="1" x14ac:dyDescent="0.3">
      <c r="A147" s="496"/>
      <c r="B147" s="99"/>
      <c r="C147" s="99"/>
      <c r="D147" s="66"/>
      <c r="E147" s="81"/>
      <c r="F147" s="81"/>
      <c r="G147" s="82"/>
      <c r="H147" s="77"/>
      <c r="I147" s="77"/>
      <c r="J147" s="83"/>
      <c r="K147" s="83"/>
      <c r="L147" s="69"/>
      <c r="M147" s="282"/>
      <c r="N147" s="302"/>
      <c r="O147" s="302"/>
      <c r="P147" s="302"/>
    </row>
    <row r="148" spans="1:16" ht="15.6" x14ac:dyDescent="0.3">
      <c r="A148" s="496"/>
      <c r="B148" s="256" t="s">
        <v>265</v>
      </c>
      <c r="C148" s="155"/>
      <c r="D148" s="24"/>
      <c r="E148" s="24"/>
      <c r="F148" s="127"/>
      <c r="G148" s="127"/>
      <c r="H148" s="128"/>
      <c r="I148" s="128"/>
      <c r="J148" s="24"/>
      <c r="K148" s="24"/>
      <c r="L148" s="129"/>
      <c r="M148" s="277" t="s">
        <v>74</v>
      </c>
      <c r="N148" s="130" t="s">
        <v>75</v>
      </c>
      <c r="O148" s="130" t="s">
        <v>266</v>
      </c>
      <c r="P148" s="130" t="s">
        <v>77</v>
      </c>
    </row>
    <row r="149" spans="1:16" ht="15.6" x14ac:dyDescent="0.3">
      <c r="A149" s="496"/>
      <c r="B149" s="166" t="str">
        <f>+D14</f>
        <v>Basic User Support</v>
      </c>
      <c r="C149" s="36"/>
      <c r="D149" s="1"/>
      <c r="E149" s="1"/>
      <c r="F149" s="1"/>
      <c r="G149" s="1"/>
      <c r="H149" s="1"/>
      <c r="I149" s="1"/>
      <c r="J149" s="1"/>
      <c r="K149" s="1"/>
      <c r="L149" s="131"/>
      <c r="M149" s="296">
        <f>SUM(M16:M19)</f>
        <v>0</v>
      </c>
      <c r="N149" s="313">
        <f>SUM(N16:N19)</f>
        <v>0</v>
      </c>
      <c r="O149" s="313">
        <f>SUM(O16:O19)</f>
        <v>0</v>
      </c>
      <c r="P149" s="313">
        <f>SUM(P16:P19)</f>
        <v>0</v>
      </c>
    </row>
    <row r="150" spans="1:16" ht="15.6" x14ac:dyDescent="0.3">
      <c r="A150" s="496"/>
      <c r="B150" s="167" t="str">
        <f>+D22</f>
        <v>Backup Only - Server Monitoring Agent Fee</v>
      </c>
      <c r="C150" s="133"/>
      <c r="D150" s="134"/>
      <c r="E150" s="134"/>
      <c r="F150" s="134"/>
      <c r="G150" s="134"/>
      <c r="H150" s="134"/>
      <c r="I150" s="134"/>
      <c r="J150" s="134"/>
      <c r="K150" s="134"/>
      <c r="L150" s="135"/>
      <c r="M150" s="297">
        <f>M22</f>
        <v>0</v>
      </c>
      <c r="N150" s="314">
        <f>N22</f>
        <v>0</v>
      </c>
      <c r="O150" s="314">
        <f>O22</f>
        <v>0</v>
      </c>
      <c r="P150" s="314">
        <f>P22</f>
        <v>0</v>
      </c>
    </row>
    <row r="151" spans="1:16" ht="15.6" x14ac:dyDescent="0.3">
      <c r="A151" s="496"/>
      <c r="B151" s="166" t="str">
        <f>D27</f>
        <v>Backup Only - Disaster Recovery as a Service (DRaaS)</v>
      </c>
      <c r="C151" s="36"/>
      <c r="D151" s="1"/>
      <c r="E151" s="1"/>
      <c r="F151" s="1"/>
      <c r="G151" s="1"/>
      <c r="H151" s="1"/>
      <c r="I151" s="1"/>
      <c r="J151" s="1"/>
      <c r="K151" s="1"/>
      <c r="L151" s="354"/>
      <c r="M151" s="355">
        <f>M27</f>
        <v>0</v>
      </c>
      <c r="N151" s="356">
        <f t="shared" ref="N151:P151" si="9">N27</f>
        <v>0</v>
      </c>
      <c r="O151" s="356">
        <f t="shared" ref="O151" si="10">O27</f>
        <v>0</v>
      </c>
      <c r="P151" s="356">
        <f t="shared" si="9"/>
        <v>0</v>
      </c>
    </row>
    <row r="152" spans="1:16" ht="15.6" x14ac:dyDescent="0.3">
      <c r="A152" s="496"/>
      <c r="B152" s="167" t="str">
        <f>+D63</f>
        <v>UTM Only - Unified Threat Management Appliances, Wireless Access Points</v>
      </c>
      <c r="C152" s="133"/>
      <c r="D152" s="134"/>
      <c r="E152" s="134"/>
      <c r="F152" s="134"/>
      <c r="G152" s="134"/>
      <c r="H152" s="134"/>
      <c r="I152" s="134"/>
      <c r="J152" s="134"/>
      <c r="K152" s="134"/>
      <c r="L152" s="135"/>
      <c r="M152" s="297">
        <f>M63</f>
        <v>0</v>
      </c>
      <c r="N152" s="314">
        <f>N63</f>
        <v>0</v>
      </c>
      <c r="O152" s="314">
        <f>O63</f>
        <v>0</v>
      </c>
      <c r="P152" s="314">
        <f>P63</f>
        <v>0</v>
      </c>
    </row>
    <row r="153" spans="1:16" ht="15.6" x14ac:dyDescent="0.3">
      <c r="A153" s="496"/>
      <c r="B153" s="166" t="str">
        <f>+D91</f>
        <v>UTM Only - Additional Unified Threat Management Solutions/Services</v>
      </c>
      <c r="C153" s="36"/>
      <c r="D153" s="1"/>
      <c r="E153" s="1"/>
      <c r="F153" s="1"/>
      <c r="G153" s="1"/>
      <c r="H153" s="1"/>
      <c r="I153" s="1"/>
      <c r="J153" s="1"/>
      <c r="K153" s="1"/>
      <c r="L153" s="354"/>
      <c r="M153" s="355">
        <f>+M91</f>
        <v>0</v>
      </c>
      <c r="N153" s="356">
        <f>+N91</f>
        <v>0</v>
      </c>
      <c r="O153" s="356">
        <f>+O91</f>
        <v>0</v>
      </c>
      <c r="P153" s="356">
        <f>+P91</f>
        <v>0</v>
      </c>
    </row>
    <row r="154" spans="1:16" ht="15.6" x14ac:dyDescent="0.3">
      <c r="A154" s="496"/>
      <c r="B154" s="167" t="str">
        <f>D101</f>
        <v>UTM Only - FortiSwitch</v>
      </c>
      <c r="C154" s="133"/>
      <c r="D154" s="134"/>
      <c r="E154" s="134"/>
      <c r="F154" s="134"/>
      <c r="G154" s="134"/>
      <c r="H154" s="134"/>
      <c r="I154" s="134"/>
      <c r="J154" s="134"/>
      <c r="K154" s="134"/>
      <c r="L154" s="135"/>
      <c r="M154" s="297">
        <f>M101</f>
        <v>0</v>
      </c>
      <c r="N154" s="314">
        <f>N101</f>
        <v>0</v>
      </c>
      <c r="O154" s="314">
        <f>O101</f>
        <v>0</v>
      </c>
      <c r="P154" s="314">
        <f>P101</f>
        <v>0</v>
      </c>
    </row>
    <row r="155" spans="1:16" ht="15.6" x14ac:dyDescent="0.3">
      <c r="A155" s="496"/>
      <c r="B155" s="223" t="str">
        <f>+D140</f>
        <v>Other Fees</v>
      </c>
      <c r="C155" s="419"/>
      <c r="D155" s="21"/>
      <c r="E155" s="21"/>
      <c r="F155" s="21"/>
      <c r="G155" s="21"/>
      <c r="H155" s="21"/>
      <c r="I155" s="21"/>
      <c r="J155" s="21"/>
      <c r="K155" s="21"/>
      <c r="L155" s="420"/>
      <c r="M155" s="421">
        <f>+M140</f>
        <v>0</v>
      </c>
      <c r="N155" s="422">
        <f>+N140</f>
        <v>0</v>
      </c>
      <c r="O155" s="422">
        <f>+O140</f>
        <v>0</v>
      </c>
      <c r="P155" s="422">
        <f>+P140</f>
        <v>0</v>
      </c>
    </row>
    <row r="156" spans="1:16" ht="16.2" thickBot="1" x14ac:dyDescent="0.35">
      <c r="A156" s="496"/>
      <c r="B156" s="224" t="s">
        <v>488</v>
      </c>
      <c r="C156" s="225"/>
      <c r="D156" s="226"/>
      <c r="E156" s="226"/>
      <c r="F156" s="227"/>
      <c r="G156" s="227"/>
      <c r="H156" s="228"/>
      <c r="I156" s="228"/>
      <c r="J156" s="226"/>
      <c r="K156" s="226"/>
      <c r="L156" s="229"/>
      <c r="M156" s="298">
        <f>IFERROR(SUM(M149:M155),"Contact Sales")</f>
        <v>0</v>
      </c>
      <c r="N156" s="315">
        <f>IFERROR(SUM(N149:N155),"Contact Sales")</f>
        <v>0</v>
      </c>
      <c r="O156" s="315">
        <f>IFERROR(SUM(O149:O155),"Contact Sales")</f>
        <v>0</v>
      </c>
      <c r="P156" s="315">
        <f>IFERROR(SUM(P149:P155),"Contact Sales")</f>
        <v>0</v>
      </c>
    </row>
    <row r="157" spans="1:16" ht="16.2" thickTop="1" x14ac:dyDescent="0.3">
      <c r="A157" s="398"/>
      <c r="B157" s="210" t="s">
        <v>267</v>
      </c>
      <c r="C157" s="36"/>
      <c r="D157" s="1"/>
      <c r="E157" s="1"/>
      <c r="F157" s="1"/>
      <c r="G157" s="1"/>
      <c r="H157" s="1"/>
      <c r="I157" s="1"/>
      <c r="J157" s="1"/>
      <c r="K157" s="1"/>
      <c r="L157" s="131"/>
      <c r="M157" s="132"/>
      <c r="N157" s="132"/>
      <c r="P157" s="213">
        <f>IF(OR(F10=Lookups!B41,F10=Lookups!B42),0,IF(P149=0,0,IF(P156&lt;250,250-P156,0)))</f>
        <v>0</v>
      </c>
    </row>
    <row r="158" spans="1:16" x14ac:dyDescent="0.3">
      <c r="A158" s="398"/>
      <c r="C158" s="36"/>
      <c r="D158" s="1"/>
      <c r="E158" s="1"/>
      <c r="I158" s="39"/>
      <c r="J158" s="39"/>
      <c r="K158" s="39"/>
      <c r="M158"/>
      <c r="N158"/>
      <c r="P158" s="233" t="str">
        <f>IF(P157&gt;0,"MRR minimum of $250 for Basic User Support new subscriber orders is required","")</f>
        <v/>
      </c>
    </row>
    <row r="159" spans="1:16" ht="18" x14ac:dyDescent="0.35">
      <c r="A159" s="398"/>
      <c r="B159" s="164" t="s">
        <v>268</v>
      </c>
      <c r="I159" s="39"/>
      <c r="J159" s="39"/>
      <c r="K159" s="39"/>
      <c r="M159"/>
      <c r="N159"/>
    </row>
    <row r="160" spans="1:16" ht="15.6" x14ac:dyDescent="0.3">
      <c r="A160" s="398"/>
      <c r="C160" s="251" t="str">
        <f>IF(B16+B17&gt;0,"Basic User Support requires 12 Month Service Commit","")</f>
        <v/>
      </c>
      <c r="D160" s="340"/>
      <c r="I160" s="39"/>
      <c r="J160" s="39"/>
      <c r="K160" s="39"/>
      <c r="M160"/>
      <c r="N160"/>
    </row>
    <row r="161" spans="1:16" ht="15.6" x14ac:dyDescent="0.3">
      <c r="A161" s="398"/>
      <c r="C161" s="251" t="str">
        <f>IF(Lookups!D28&gt;0,"Datto - 12 Month Service Commit","")</f>
        <v/>
      </c>
      <c r="H161" s="97"/>
      <c r="I161" s="39"/>
      <c r="J161" s="39"/>
      <c r="K161" s="39"/>
      <c r="M161"/>
      <c r="N161"/>
    </row>
    <row r="162" spans="1:16" ht="15.6" x14ac:dyDescent="0.3">
      <c r="A162" s="398"/>
      <c r="C162" s="251" t="str">
        <f>IF(Lookups!E28&gt;0,"Datto - 36 Month Service Commit","")</f>
        <v/>
      </c>
      <c r="H162" s="97"/>
      <c r="I162" s="39"/>
      <c r="J162" s="39"/>
      <c r="K162" s="39"/>
      <c r="M162"/>
      <c r="N162"/>
      <c r="P162"/>
    </row>
    <row r="163" spans="1:16" ht="15.6" x14ac:dyDescent="0.3">
      <c r="A163" s="398"/>
      <c r="C163" s="251"/>
      <c r="H163" s="97"/>
      <c r="I163" s="39"/>
      <c r="J163" s="39"/>
      <c r="K163" s="39"/>
      <c r="M163"/>
      <c r="N163"/>
      <c r="P163"/>
    </row>
    <row r="164" spans="1:16" ht="15.6" x14ac:dyDescent="0.3">
      <c r="A164" s="398"/>
      <c r="C164" s="251" t="str">
        <f>IF($P$154&gt;0,"FortiSwitch(s) - 18 month term","")</f>
        <v/>
      </c>
      <c r="H164" s="97"/>
      <c r="I164" s="39"/>
      <c r="J164" s="39"/>
      <c r="K164" s="39"/>
      <c r="M164"/>
      <c r="N164"/>
      <c r="P164"/>
    </row>
    <row r="165" spans="1:16" x14ac:dyDescent="0.3">
      <c r="A165" s="398"/>
      <c r="H165" s="97"/>
      <c r="I165" s="39"/>
      <c r="J165" s="39"/>
      <c r="K165" s="39"/>
      <c r="M165"/>
      <c r="N165"/>
      <c r="P165"/>
    </row>
    <row r="166" spans="1:16" ht="15.6" x14ac:dyDescent="0.3">
      <c r="A166" s="398"/>
      <c r="C166" s="251"/>
      <c r="H166" s="97"/>
      <c r="I166" s="39"/>
      <c r="J166" s="39"/>
      <c r="K166" s="39"/>
      <c r="M166"/>
      <c r="N166"/>
      <c r="P166"/>
    </row>
    <row r="167" spans="1:16" ht="18.600000000000001" thickBot="1" x14ac:dyDescent="0.4">
      <c r="A167" s="458"/>
      <c r="B167" s="164" t="s">
        <v>269</v>
      </c>
      <c r="C167"/>
      <c r="L167"/>
      <c r="M167"/>
      <c r="N167"/>
      <c r="P167"/>
    </row>
    <row r="168" spans="1:16" x14ac:dyDescent="0.3">
      <c r="A168" s="458"/>
      <c r="B168" s="459"/>
      <c r="C168" s="460"/>
      <c r="D168" s="460"/>
      <c r="E168" s="460"/>
      <c r="F168" s="460"/>
      <c r="G168" s="460"/>
      <c r="H168" s="461"/>
      <c r="I168" s="39"/>
      <c r="J168" s="39"/>
      <c r="K168" s="39"/>
      <c r="L168"/>
      <c r="M168"/>
      <c r="N168"/>
      <c r="P168"/>
    </row>
    <row r="169" spans="1:16" x14ac:dyDescent="0.3">
      <c r="A169" s="458"/>
      <c r="B169" s="462"/>
      <c r="C169" s="463"/>
      <c r="D169" s="463"/>
      <c r="E169" s="463"/>
      <c r="F169" s="463"/>
      <c r="G169" s="463"/>
      <c r="H169" s="464"/>
      <c r="I169" s="39"/>
      <c r="J169" s="39"/>
      <c r="K169" s="39"/>
      <c r="L169"/>
      <c r="M169"/>
      <c r="N169"/>
      <c r="P169"/>
    </row>
    <row r="170" spans="1:16" x14ac:dyDescent="0.3">
      <c r="A170" s="458"/>
      <c r="B170" s="462"/>
      <c r="C170" s="463"/>
      <c r="D170" s="463"/>
      <c r="E170" s="463"/>
      <c r="F170" s="463"/>
      <c r="G170" s="463"/>
      <c r="H170" s="464"/>
      <c r="I170" s="39"/>
      <c r="J170" s="39"/>
      <c r="K170" s="39"/>
      <c r="L170"/>
      <c r="M170"/>
      <c r="N170"/>
      <c r="P170"/>
    </row>
    <row r="171" spans="1:16" x14ac:dyDescent="0.3">
      <c r="A171" s="458"/>
      <c r="B171" s="462"/>
      <c r="C171" s="463"/>
      <c r="D171" s="463"/>
      <c r="E171" s="463"/>
      <c r="F171" s="463"/>
      <c r="G171" s="463"/>
      <c r="H171" s="464"/>
      <c r="I171" s="39"/>
      <c r="J171" s="39"/>
      <c r="K171" s="39"/>
      <c r="L171"/>
      <c r="M171"/>
      <c r="N171"/>
      <c r="P171"/>
    </row>
    <row r="172" spans="1:16" ht="15" thickBot="1" x14ac:dyDescent="0.35">
      <c r="A172" s="458"/>
      <c r="B172" s="465"/>
      <c r="C172" s="466"/>
      <c r="D172" s="466"/>
      <c r="E172" s="466"/>
      <c r="F172" s="466"/>
      <c r="G172" s="466"/>
      <c r="H172" s="467"/>
      <c r="I172" s="39"/>
      <c r="J172" s="39"/>
      <c r="K172" s="39"/>
      <c r="L172"/>
      <c r="M172"/>
      <c r="N172"/>
      <c r="P172"/>
    </row>
    <row r="173" spans="1:16" x14ac:dyDescent="0.3">
      <c r="I173" s="39"/>
      <c r="J173" s="39"/>
      <c r="K173" s="39"/>
      <c r="M173"/>
      <c r="N173"/>
      <c r="P173"/>
    </row>
    <row r="174" spans="1:16" x14ac:dyDescent="0.3">
      <c r="I174" s="39"/>
      <c r="J174" s="39"/>
      <c r="K174" s="39"/>
      <c r="M174"/>
      <c r="N174"/>
      <c r="P174"/>
    </row>
    <row r="175" spans="1:16" x14ac:dyDescent="0.3">
      <c r="I175" s="39"/>
      <c r="J175" s="39"/>
      <c r="K175" s="39"/>
      <c r="M175"/>
      <c r="N175"/>
      <c r="P175"/>
    </row>
    <row r="176" spans="1:16" x14ac:dyDescent="0.3">
      <c r="I176" s="39"/>
      <c r="J176" s="39"/>
      <c r="K176" s="39"/>
      <c r="M176"/>
      <c r="N176"/>
      <c r="P176"/>
    </row>
    <row r="177" spans="9:16" x14ac:dyDescent="0.3">
      <c r="I177" s="39"/>
      <c r="J177" s="39"/>
      <c r="K177" s="39"/>
      <c r="M177"/>
      <c r="N177"/>
      <c r="P177"/>
    </row>
    <row r="178" spans="9:16" x14ac:dyDescent="0.3">
      <c r="I178" s="39"/>
      <c r="J178" s="39"/>
      <c r="K178" s="39"/>
      <c r="M178"/>
      <c r="N178"/>
      <c r="P178"/>
    </row>
    <row r="179" spans="9:16" x14ac:dyDescent="0.3">
      <c r="I179" s="39"/>
      <c r="J179" s="39"/>
      <c r="K179" s="39"/>
      <c r="M179"/>
      <c r="N179"/>
      <c r="P179"/>
    </row>
    <row r="180" spans="9:16" x14ac:dyDescent="0.3">
      <c r="I180" s="39"/>
      <c r="J180" s="39"/>
      <c r="K180" s="39"/>
      <c r="M180"/>
      <c r="N180"/>
      <c r="P180"/>
    </row>
    <row r="181" spans="9:16" x14ac:dyDescent="0.3">
      <c r="I181" s="39"/>
      <c r="J181" s="39"/>
      <c r="K181" s="39"/>
      <c r="M181"/>
      <c r="N181"/>
      <c r="P181"/>
    </row>
    <row r="182" spans="9:16" x14ac:dyDescent="0.3">
      <c r="I182" s="39"/>
      <c r="J182" s="39"/>
      <c r="K182" s="39"/>
      <c r="M182"/>
      <c r="N182"/>
      <c r="P182"/>
    </row>
    <row r="183" spans="9:16" x14ac:dyDescent="0.3">
      <c r="I183" s="39"/>
      <c r="J183" s="39"/>
      <c r="K183" s="39"/>
      <c r="M183"/>
      <c r="N183"/>
      <c r="P183"/>
    </row>
    <row r="184" spans="9:16" x14ac:dyDescent="0.3">
      <c r="I184" s="39"/>
      <c r="J184" s="39"/>
      <c r="K184" s="39"/>
      <c r="M184"/>
      <c r="N184"/>
      <c r="P184"/>
    </row>
    <row r="185" spans="9:16" x14ac:dyDescent="0.3">
      <c r="I185" s="39"/>
      <c r="J185" s="39"/>
      <c r="K185" s="39"/>
      <c r="M185"/>
      <c r="N185"/>
      <c r="P185"/>
    </row>
    <row r="186" spans="9:16" x14ac:dyDescent="0.3">
      <c r="I186" s="39"/>
      <c r="J186" s="39"/>
      <c r="K186" s="39"/>
      <c r="M186"/>
      <c r="N186"/>
      <c r="P186"/>
    </row>
    <row r="187" spans="9:16" x14ac:dyDescent="0.3">
      <c r="I187" s="39"/>
      <c r="J187" s="39"/>
      <c r="K187" s="39"/>
      <c r="M187"/>
      <c r="N187"/>
      <c r="P187"/>
    </row>
    <row r="188" spans="9:16" x14ac:dyDescent="0.3">
      <c r="I188" s="39"/>
      <c r="J188" s="39"/>
      <c r="K188" s="39"/>
      <c r="M188"/>
      <c r="N188"/>
      <c r="P188"/>
    </row>
    <row r="189" spans="9:16" x14ac:dyDescent="0.3">
      <c r="I189" s="39"/>
      <c r="J189" s="39"/>
      <c r="K189" s="39"/>
      <c r="M189"/>
      <c r="N189"/>
      <c r="P189"/>
    </row>
    <row r="190" spans="9:16" x14ac:dyDescent="0.3">
      <c r="I190" s="39"/>
      <c r="J190" s="39"/>
      <c r="K190" s="39"/>
      <c r="M190"/>
      <c r="N190"/>
      <c r="P190"/>
    </row>
    <row r="191" spans="9:16" x14ac:dyDescent="0.3">
      <c r="I191" s="39"/>
      <c r="J191" s="39"/>
      <c r="K191" s="39"/>
      <c r="M191"/>
      <c r="N191"/>
      <c r="P191"/>
    </row>
    <row r="192" spans="9:16" x14ac:dyDescent="0.3">
      <c r="I192" s="39"/>
      <c r="J192" s="39"/>
      <c r="K192" s="39"/>
      <c r="M192"/>
      <c r="N192"/>
      <c r="P192"/>
    </row>
    <row r="193" spans="9:16" x14ac:dyDescent="0.3">
      <c r="I193" s="39"/>
      <c r="J193" s="39"/>
      <c r="K193" s="39"/>
      <c r="M193"/>
      <c r="N193"/>
      <c r="P193"/>
    </row>
    <row r="194" spans="9:16" x14ac:dyDescent="0.3">
      <c r="I194" s="39"/>
      <c r="J194" s="39"/>
      <c r="K194" s="39"/>
      <c r="M194"/>
      <c r="N194"/>
      <c r="P194"/>
    </row>
    <row r="195" spans="9:16" x14ac:dyDescent="0.3">
      <c r="I195" s="39"/>
      <c r="J195" s="39"/>
      <c r="K195" s="39"/>
      <c r="M195"/>
      <c r="N195"/>
      <c r="P195"/>
    </row>
    <row r="196" spans="9:16" x14ac:dyDescent="0.3">
      <c r="I196" s="39"/>
      <c r="J196" s="39"/>
      <c r="K196" s="39"/>
      <c r="M196"/>
      <c r="N196"/>
      <c r="P196"/>
    </row>
    <row r="197" spans="9:16" x14ac:dyDescent="0.3">
      <c r="I197" s="39"/>
      <c r="J197" s="39"/>
      <c r="K197" s="39"/>
      <c r="M197"/>
      <c r="N197"/>
      <c r="P197"/>
    </row>
    <row r="198" spans="9:16" x14ac:dyDescent="0.3">
      <c r="I198" s="39"/>
      <c r="J198" s="39"/>
      <c r="K198" s="39"/>
      <c r="M198"/>
      <c r="N198"/>
      <c r="P198"/>
    </row>
    <row r="199" spans="9:16" x14ac:dyDescent="0.3">
      <c r="I199" s="39"/>
      <c r="J199" s="39"/>
      <c r="K199" s="39"/>
      <c r="M199"/>
      <c r="N199"/>
      <c r="P199"/>
    </row>
    <row r="200" spans="9:16" x14ac:dyDescent="0.3">
      <c r="I200" s="39"/>
      <c r="J200" s="39"/>
      <c r="K200" s="39"/>
      <c r="M200"/>
      <c r="N200"/>
      <c r="P200"/>
    </row>
    <row r="201" spans="9:16" x14ac:dyDescent="0.3">
      <c r="I201" s="39"/>
      <c r="J201" s="39"/>
      <c r="K201" s="39"/>
      <c r="M201"/>
      <c r="N201"/>
      <c r="P201"/>
    </row>
    <row r="202" spans="9:16" x14ac:dyDescent="0.3">
      <c r="I202" s="39"/>
      <c r="J202" s="39"/>
      <c r="K202" s="39"/>
      <c r="M202"/>
      <c r="N202"/>
      <c r="P202"/>
    </row>
    <row r="203" spans="9:16" x14ac:dyDescent="0.3">
      <c r="I203" s="39"/>
      <c r="J203" s="39"/>
      <c r="K203" s="39"/>
      <c r="M203"/>
      <c r="N203"/>
      <c r="P203"/>
    </row>
    <row r="204" spans="9:16" x14ac:dyDescent="0.3">
      <c r="I204" s="39"/>
      <c r="J204" s="39"/>
      <c r="K204" s="39"/>
      <c r="M204"/>
      <c r="N204"/>
      <c r="P204"/>
    </row>
    <row r="205" spans="9:16" x14ac:dyDescent="0.3">
      <c r="I205" s="39"/>
      <c r="J205" s="39"/>
      <c r="K205" s="39"/>
      <c r="M205"/>
      <c r="N205"/>
      <c r="P205"/>
    </row>
    <row r="206" spans="9:16" x14ac:dyDescent="0.3">
      <c r="I206" s="39"/>
      <c r="J206" s="39"/>
      <c r="K206" s="39"/>
      <c r="M206"/>
      <c r="N206"/>
      <c r="P206"/>
    </row>
    <row r="207" spans="9:16" x14ac:dyDescent="0.3">
      <c r="I207" s="39"/>
      <c r="J207" s="39"/>
      <c r="K207" s="39"/>
      <c r="M207"/>
      <c r="N207"/>
      <c r="P207"/>
    </row>
    <row r="208" spans="9:16" x14ac:dyDescent="0.3">
      <c r="I208" s="39"/>
      <c r="J208" s="39"/>
      <c r="K208" s="39"/>
      <c r="M208"/>
      <c r="N208"/>
      <c r="P208"/>
    </row>
    <row r="209" spans="9:16" x14ac:dyDescent="0.3">
      <c r="I209" s="39"/>
      <c r="J209" s="39"/>
      <c r="K209" s="39"/>
      <c r="M209"/>
      <c r="N209"/>
      <c r="P209"/>
    </row>
    <row r="210" spans="9:16" x14ac:dyDescent="0.3">
      <c r="I210" s="39"/>
      <c r="J210" s="39"/>
      <c r="K210" s="39"/>
      <c r="M210"/>
      <c r="N210"/>
    </row>
    <row r="211" spans="9:16" x14ac:dyDescent="0.3">
      <c r="I211" s="39"/>
      <c r="J211" s="39"/>
      <c r="K211" s="39"/>
      <c r="M211"/>
      <c r="N211"/>
    </row>
    <row r="212" spans="9:16" x14ac:dyDescent="0.3">
      <c r="I212" s="39"/>
      <c r="J212" s="39"/>
      <c r="K212" s="39"/>
      <c r="M212"/>
      <c r="N212"/>
    </row>
    <row r="213" spans="9:16" x14ac:dyDescent="0.3">
      <c r="I213" s="39"/>
      <c r="J213" s="39"/>
      <c r="K213" s="39"/>
      <c r="M213"/>
      <c r="N213"/>
    </row>
    <row r="214" spans="9:16" x14ac:dyDescent="0.3">
      <c r="I214" s="39"/>
      <c r="J214" s="39"/>
      <c r="K214" s="39"/>
      <c r="M214"/>
      <c r="N214"/>
    </row>
    <row r="215" spans="9:16" x14ac:dyDescent="0.3">
      <c r="I215" s="39"/>
      <c r="J215" s="39"/>
      <c r="K215" s="39"/>
      <c r="M215"/>
      <c r="N215"/>
    </row>
    <row r="216" spans="9:16" x14ac:dyDescent="0.3">
      <c r="I216" s="39"/>
      <c r="J216" s="39"/>
      <c r="K216" s="39"/>
      <c r="M216"/>
      <c r="N216"/>
    </row>
    <row r="217" spans="9:16" x14ac:dyDescent="0.3">
      <c r="I217" s="39"/>
      <c r="J217" s="39"/>
      <c r="K217" s="39"/>
      <c r="M217"/>
      <c r="N217"/>
    </row>
    <row r="218" spans="9:16" x14ac:dyDescent="0.3">
      <c r="I218" s="39"/>
      <c r="J218" s="39"/>
      <c r="K218" s="39"/>
      <c r="M218"/>
      <c r="N218"/>
    </row>
    <row r="219" spans="9:16" x14ac:dyDescent="0.3">
      <c r="I219" s="39"/>
      <c r="J219" s="39"/>
      <c r="K219" s="39"/>
      <c r="M219"/>
      <c r="N219"/>
    </row>
    <row r="220" spans="9:16" x14ac:dyDescent="0.3">
      <c r="I220" s="39"/>
      <c r="J220" s="39"/>
      <c r="K220" s="39"/>
      <c r="M220"/>
      <c r="N220"/>
    </row>
    <row r="221" spans="9:16" x14ac:dyDescent="0.3">
      <c r="I221" s="39"/>
      <c r="J221" s="39"/>
      <c r="K221" s="39"/>
      <c r="M221"/>
      <c r="N221"/>
    </row>
    <row r="222" spans="9:16" x14ac:dyDescent="0.3">
      <c r="I222" s="39"/>
      <c r="J222" s="39"/>
      <c r="K222" s="39"/>
      <c r="M222"/>
      <c r="N222"/>
    </row>
    <row r="223" spans="9:16" x14ac:dyDescent="0.3">
      <c r="I223" s="39"/>
      <c r="J223" s="39"/>
      <c r="K223" s="39"/>
      <c r="M223"/>
      <c r="N223"/>
    </row>
    <row r="224" spans="9:16" x14ac:dyDescent="0.3">
      <c r="I224" s="39"/>
      <c r="J224" s="39"/>
      <c r="K224" s="39"/>
      <c r="M224"/>
      <c r="N224"/>
    </row>
    <row r="225" spans="1:14" x14ac:dyDescent="0.3">
      <c r="I225" s="39"/>
      <c r="J225" s="39"/>
      <c r="K225" s="39"/>
      <c r="M225"/>
      <c r="N225"/>
    </row>
    <row r="226" spans="1:14" x14ac:dyDescent="0.3">
      <c r="I226" s="39"/>
      <c r="J226" s="39"/>
      <c r="K226" s="39"/>
      <c r="M226"/>
      <c r="N226"/>
    </row>
    <row r="227" spans="1:14" x14ac:dyDescent="0.3">
      <c r="I227" s="39"/>
      <c r="J227" s="39"/>
      <c r="K227" s="39"/>
      <c r="M227"/>
      <c r="N227"/>
    </row>
    <row r="228" spans="1:14" x14ac:dyDescent="0.3">
      <c r="I228" s="39"/>
      <c r="J228" s="39"/>
      <c r="K228" s="39"/>
      <c r="M228"/>
      <c r="N228"/>
    </row>
    <row r="229" spans="1:14" x14ac:dyDescent="0.3">
      <c r="I229" s="39"/>
      <c r="J229" s="39"/>
      <c r="K229" s="39"/>
      <c r="M229"/>
      <c r="N229"/>
    </row>
    <row r="230" spans="1:14" x14ac:dyDescent="0.3">
      <c r="I230" s="39"/>
      <c r="J230" s="39"/>
      <c r="K230" s="39"/>
      <c r="M230"/>
      <c r="N230"/>
    </row>
    <row r="231" spans="1:14" x14ac:dyDescent="0.3">
      <c r="I231" s="39"/>
      <c r="J231" s="39"/>
      <c r="K231" s="39"/>
      <c r="M231"/>
      <c r="N231"/>
    </row>
    <row r="232" spans="1:14" x14ac:dyDescent="0.3">
      <c r="I232" s="39"/>
      <c r="J232" s="39"/>
      <c r="K232" s="39"/>
      <c r="M232"/>
      <c r="N232"/>
    </row>
    <row r="233" spans="1:14" x14ac:dyDescent="0.3">
      <c r="I233" s="39"/>
      <c r="J233" s="39"/>
      <c r="K233" s="39"/>
      <c r="M233"/>
      <c r="N233"/>
    </row>
    <row r="234" spans="1:14" x14ac:dyDescent="0.3">
      <c r="I234" s="39"/>
      <c r="J234" s="39"/>
      <c r="K234" s="39"/>
      <c r="M234"/>
      <c r="N234"/>
    </row>
    <row r="235" spans="1:14" x14ac:dyDescent="0.3">
      <c r="I235" s="39"/>
      <c r="J235" s="39"/>
      <c r="K235" s="39"/>
      <c r="M235"/>
      <c r="N235"/>
    </row>
    <row r="236" spans="1:14" ht="15.6" x14ac:dyDescent="0.3">
      <c r="A236" s="259"/>
      <c r="I236" s="39"/>
      <c r="J236" s="39"/>
      <c r="K236" s="39"/>
      <c r="M236"/>
      <c r="N236"/>
    </row>
    <row r="237" spans="1:14" x14ac:dyDescent="0.3">
      <c r="I237" s="39"/>
      <c r="J237" s="39"/>
      <c r="K237" s="39"/>
      <c r="M237"/>
      <c r="N237"/>
    </row>
    <row r="238" spans="1:14" x14ac:dyDescent="0.3">
      <c r="I238" s="39"/>
      <c r="J238" s="39"/>
      <c r="K238" s="39"/>
      <c r="M238"/>
      <c r="N238"/>
    </row>
    <row r="239" spans="1:14" x14ac:dyDescent="0.3">
      <c r="I239" s="39"/>
      <c r="J239" s="39"/>
      <c r="K239" s="39"/>
      <c r="M239"/>
      <c r="N239"/>
    </row>
    <row r="240" spans="1:14" x14ac:dyDescent="0.3">
      <c r="I240" s="39"/>
      <c r="J240" s="39"/>
      <c r="K240" s="39"/>
      <c r="M240"/>
      <c r="N240"/>
    </row>
    <row r="241" spans="9:14" x14ac:dyDescent="0.3">
      <c r="I241" s="39"/>
      <c r="J241" s="39"/>
      <c r="K241" s="39"/>
      <c r="M241"/>
      <c r="N241"/>
    </row>
    <row r="242" spans="9:14" x14ac:dyDescent="0.3">
      <c r="I242" s="39"/>
      <c r="J242" s="39"/>
      <c r="K242" s="39"/>
      <c r="M242"/>
      <c r="N242"/>
    </row>
    <row r="243" spans="9:14" x14ac:dyDescent="0.3">
      <c r="I243" s="39"/>
      <c r="J243" s="39"/>
      <c r="K243" s="39"/>
      <c r="M243"/>
      <c r="N243"/>
    </row>
    <row r="244" spans="9:14" x14ac:dyDescent="0.3">
      <c r="I244" s="39"/>
      <c r="J244" s="39"/>
      <c r="K244" s="39"/>
      <c r="M244"/>
      <c r="N244"/>
    </row>
    <row r="245" spans="9:14" x14ac:dyDescent="0.3">
      <c r="I245" s="39"/>
      <c r="J245" s="39"/>
      <c r="K245" s="39"/>
      <c r="M245"/>
      <c r="N245"/>
    </row>
    <row r="246" spans="9:14" x14ac:dyDescent="0.3">
      <c r="I246" s="39"/>
      <c r="J246" s="39"/>
      <c r="K246" s="39"/>
      <c r="M246"/>
      <c r="N246"/>
    </row>
    <row r="247" spans="9:14" x14ac:dyDescent="0.3">
      <c r="I247" s="39"/>
      <c r="J247" s="39"/>
      <c r="K247" s="39"/>
      <c r="M247"/>
      <c r="N247"/>
    </row>
    <row r="248" spans="9:14" x14ac:dyDescent="0.3">
      <c r="I248" s="39"/>
      <c r="J248" s="39"/>
      <c r="K248" s="39"/>
      <c r="M248"/>
      <c r="N248"/>
    </row>
    <row r="249" spans="9:14" x14ac:dyDescent="0.3">
      <c r="I249" s="39"/>
      <c r="J249" s="39"/>
      <c r="K249" s="39"/>
      <c r="M249"/>
      <c r="N249"/>
    </row>
    <row r="250" spans="9:14" x14ac:dyDescent="0.3">
      <c r="I250" s="39"/>
      <c r="J250" s="39"/>
      <c r="K250" s="39"/>
      <c r="M250"/>
      <c r="N250"/>
    </row>
    <row r="251" spans="9:14" x14ac:dyDescent="0.3">
      <c r="I251" s="39"/>
      <c r="J251" s="39"/>
      <c r="K251" s="39"/>
      <c r="M251"/>
      <c r="N251"/>
    </row>
    <row r="252" spans="9:14" x14ac:dyDescent="0.3">
      <c r="I252" s="39"/>
      <c r="J252" s="39"/>
      <c r="K252" s="39"/>
      <c r="M252"/>
      <c r="N252"/>
    </row>
    <row r="253" spans="9:14" x14ac:dyDescent="0.3">
      <c r="I253" s="39"/>
      <c r="J253" s="39"/>
      <c r="K253" s="39"/>
      <c r="M253"/>
      <c r="N253"/>
    </row>
    <row r="254" spans="9:14" x14ac:dyDescent="0.3">
      <c r="I254" s="39"/>
      <c r="J254" s="39"/>
      <c r="K254" s="39"/>
      <c r="M254"/>
      <c r="N254"/>
    </row>
    <row r="255" spans="9:14" x14ac:dyDescent="0.3">
      <c r="I255" s="39"/>
      <c r="J255" s="39"/>
      <c r="K255" s="39"/>
      <c r="M255"/>
      <c r="N255"/>
    </row>
    <row r="256" spans="9:14" x14ac:dyDescent="0.3">
      <c r="I256" s="39"/>
      <c r="J256" s="39"/>
      <c r="K256" s="39"/>
      <c r="M256"/>
      <c r="N256"/>
    </row>
    <row r="257" spans="9:14" x14ac:dyDescent="0.3">
      <c r="I257" s="39"/>
      <c r="J257" s="39"/>
      <c r="K257" s="39"/>
      <c r="M257"/>
      <c r="N257"/>
    </row>
    <row r="258" spans="9:14" x14ac:dyDescent="0.3">
      <c r="I258" s="39"/>
      <c r="J258" s="39"/>
      <c r="K258" s="39"/>
      <c r="M258"/>
      <c r="N258"/>
    </row>
    <row r="259" spans="9:14" x14ac:dyDescent="0.3">
      <c r="I259" s="39"/>
      <c r="J259" s="39"/>
      <c r="K259" s="39"/>
      <c r="M259"/>
      <c r="N259"/>
    </row>
    <row r="260" spans="9:14" x14ac:dyDescent="0.3">
      <c r="I260" s="39"/>
      <c r="J260" s="39"/>
      <c r="K260" s="39"/>
      <c r="M260"/>
      <c r="N260"/>
    </row>
    <row r="261" spans="9:14" x14ac:dyDescent="0.3">
      <c r="I261" s="39"/>
      <c r="J261" s="39"/>
      <c r="K261" s="39"/>
      <c r="M261"/>
      <c r="N261"/>
    </row>
    <row r="262" spans="9:14" x14ac:dyDescent="0.3">
      <c r="I262" s="39"/>
      <c r="J262" s="39"/>
      <c r="K262" s="39"/>
      <c r="M262"/>
      <c r="N262"/>
    </row>
    <row r="263" spans="9:14" x14ac:dyDescent="0.3">
      <c r="I263" s="39"/>
      <c r="J263" s="39"/>
      <c r="K263" s="39"/>
      <c r="M263"/>
      <c r="N263"/>
    </row>
    <row r="264" spans="9:14" x14ac:dyDescent="0.3">
      <c r="I264" s="39"/>
      <c r="J264" s="39"/>
      <c r="K264" s="39"/>
      <c r="M264"/>
      <c r="N264"/>
    </row>
    <row r="265" spans="9:14" x14ac:dyDescent="0.3">
      <c r="I265" s="39"/>
      <c r="J265" s="39"/>
      <c r="K265" s="39"/>
      <c r="M265"/>
      <c r="N265"/>
    </row>
    <row r="266" spans="9:14" x14ac:dyDescent="0.3">
      <c r="I266" s="39"/>
      <c r="J266" s="39"/>
      <c r="K266" s="39"/>
      <c r="M266"/>
      <c r="N266"/>
    </row>
    <row r="267" spans="9:14" x14ac:dyDescent="0.3">
      <c r="I267" s="39"/>
      <c r="J267" s="39"/>
      <c r="K267" s="39"/>
      <c r="M267"/>
      <c r="N267"/>
    </row>
    <row r="268" spans="9:14" x14ac:dyDescent="0.3">
      <c r="I268" s="39"/>
      <c r="J268" s="39"/>
      <c r="K268" s="39"/>
      <c r="M268"/>
      <c r="N268"/>
    </row>
    <row r="269" spans="9:14" x14ac:dyDescent="0.3">
      <c r="I269" s="39"/>
      <c r="J269" s="39"/>
      <c r="K269" s="39"/>
      <c r="M269"/>
      <c r="N269"/>
    </row>
    <row r="270" spans="9:14" x14ac:dyDescent="0.3">
      <c r="I270" s="39"/>
      <c r="J270" s="39"/>
      <c r="K270" s="39"/>
      <c r="M270"/>
      <c r="N270"/>
    </row>
    <row r="271" spans="9:14" x14ac:dyDescent="0.3">
      <c r="I271" s="39"/>
      <c r="J271" s="39"/>
      <c r="K271" s="39"/>
      <c r="M271"/>
      <c r="N271"/>
    </row>
    <row r="272" spans="9:14" x14ac:dyDescent="0.3">
      <c r="I272" s="39"/>
      <c r="J272" s="39"/>
      <c r="K272" s="39"/>
      <c r="M272"/>
      <c r="N272"/>
    </row>
    <row r="273" spans="9:14" x14ac:dyDescent="0.3">
      <c r="I273" s="39"/>
      <c r="J273" s="39"/>
      <c r="K273" s="39"/>
      <c r="M273"/>
      <c r="N273"/>
    </row>
    <row r="274" spans="9:14" x14ac:dyDescent="0.3">
      <c r="I274" s="39"/>
      <c r="J274" s="39"/>
      <c r="K274" s="39"/>
      <c r="M274"/>
      <c r="N274"/>
    </row>
    <row r="275" spans="9:14" x14ac:dyDescent="0.3">
      <c r="I275" s="39"/>
      <c r="J275" s="39"/>
      <c r="K275" s="39"/>
      <c r="M275"/>
      <c r="N275"/>
    </row>
    <row r="276" spans="9:14" x14ac:dyDescent="0.3">
      <c r="I276" s="39"/>
      <c r="J276" s="39"/>
      <c r="K276" s="39"/>
      <c r="M276"/>
      <c r="N276"/>
    </row>
    <row r="277" spans="9:14" x14ac:dyDescent="0.3">
      <c r="I277" s="39"/>
      <c r="J277" s="39"/>
      <c r="K277" s="39"/>
      <c r="M277"/>
      <c r="N277"/>
    </row>
    <row r="278" spans="9:14" x14ac:dyDescent="0.3">
      <c r="I278" s="39"/>
      <c r="J278" s="39"/>
      <c r="K278" s="39"/>
      <c r="M278"/>
      <c r="N278"/>
    </row>
    <row r="279" spans="9:14" x14ac:dyDescent="0.3">
      <c r="I279" s="39"/>
      <c r="J279" s="39"/>
      <c r="K279" s="39"/>
      <c r="M279"/>
      <c r="N279"/>
    </row>
    <row r="280" spans="9:14" x14ac:dyDescent="0.3">
      <c r="I280" s="39"/>
      <c r="J280" s="39"/>
      <c r="K280" s="39"/>
      <c r="M280"/>
      <c r="N280"/>
    </row>
    <row r="281" spans="9:14" x14ac:dyDescent="0.3">
      <c r="I281" s="39"/>
      <c r="J281" s="39"/>
      <c r="K281" s="39"/>
      <c r="M281"/>
      <c r="N281"/>
    </row>
    <row r="282" spans="9:14" x14ac:dyDescent="0.3">
      <c r="I282" s="39"/>
      <c r="J282" s="39"/>
      <c r="K282" s="39"/>
      <c r="M282"/>
      <c r="N282"/>
    </row>
    <row r="283" spans="9:14" x14ac:dyDescent="0.3">
      <c r="I283" s="39"/>
      <c r="J283" s="39"/>
      <c r="K283" s="39"/>
      <c r="M283"/>
      <c r="N283"/>
    </row>
    <row r="284" spans="9:14" x14ac:dyDescent="0.3">
      <c r="I284" s="39"/>
      <c r="J284" s="39"/>
      <c r="K284" s="39"/>
      <c r="M284"/>
      <c r="N284"/>
    </row>
    <row r="285" spans="9:14" x14ac:dyDescent="0.3">
      <c r="I285" s="39"/>
      <c r="J285" s="39"/>
      <c r="K285" s="39"/>
      <c r="M285"/>
      <c r="N285"/>
    </row>
    <row r="286" spans="9:14" x14ac:dyDescent="0.3">
      <c r="I286" s="39"/>
      <c r="J286" s="39"/>
      <c r="K286" s="39"/>
      <c r="M286"/>
      <c r="N286"/>
    </row>
    <row r="287" spans="9:14" x14ac:dyDescent="0.3">
      <c r="I287" s="39"/>
      <c r="J287" s="39"/>
      <c r="K287" s="39"/>
      <c r="M287"/>
      <c r="N287"/>
    </row>
    <row r="288" spans="9:14" x14ac:dyDescent="0.3">
      <c r="I288" s="39"/>
      <c r="J288" s="39"/>
      <c r="K288" s="39"/>
      <c r="M288"/>
      <c r="N288"/>
    </row>
    <row r="944" spans="20:21" x14ac:dyDescent="0.3">
      <c r="T944" s="1"/>
      <c r="U944" s="1"/>
    </row>
    <row r="945" spans="19:21" x14ac:dyDescent="0.3">
      <c r="T945" s="1"/>
      <c r="U945" s="1"/>
    </row>
    <row r="946" spans="19:21" x14ac:dyDescent="0.3">
      <c r="S946" s="1"/>
      <c r="T946" s="1"/>
      <c r="U946" s="1"/>
    </row>
    <row r="947" spans="19:21" x14ac:dyDescent="0.3">
      <c r="S947" s="1"/>
      <c r="T947" s="1"/>
      <c r="U947" s="1"/>
    </row>
    <row r="948" spans="19:21" x14ac:dyDescent="0.3">
      <c r="S948" s="1"/>
      <c r="T948" s="1"/>
      <c r="U948" s="1"/>
    </row>
    <row r="949" spans="19:21" x14ac:dyDescent="0.3">
      <c r="S949" s="1"/>
      <c r="T949" s="1"/>
      <c r="U949" s="1"/>
    </row>
    <row r="950" spans="19:21" x14ac:dyDescent="0.3">
      <c r="S950" s="1"/>
      <c r="T950" s="1"/>
      <c r="U950" s="1"/>
    </row>
    <row r="951" spans="19:21" x14ac:dyDescent="0.3">
      <c r="S951" s="1"/>
      <c r="T951" s="1"/>
      <c r="U951" s="1"/>
    </row>
    <row r="952" spans="19:21" x14ac:dyDescent="0.3">
      <c r="S952" s="1"/>
      <c r="T952" s="1"/>
      <c r="U952" s="1"/>
    </row>
  </sheetData>
  <sheetProtection algorithmName="SHA-512" hashValue="fowCZJfTLmNyPpIWGMSZfvk4QUI3TtIvkNOtUtiXFy0gUfFBwFQLwaKC4BHmC/arlKvaBRhPDLXuYHdfqbWjLw==" saltValue="WOh1/Q4AOcuFJ/60aPZRPg==" spinCount="100000" sheet="1" selectLockedCells="1"/>
  <mergeCells count="19">
    <mergeCell ref="A13:A20"/>
    <mergeCell ref="A21:A61"/>
    <mergeCell ref="J1:P1"/>
    <mergeCell ref="J2:P2"/>
    <mergeCell ref="J3:P3"/>
    <mergeCell ref="A167:A172"/>
    <mergeCell ref="E93:F93"/>
    <mergeCell ref="E94:F94"/>
    <mergeCell ref="E97:F97"/>
    <mergeCell ref="A62:A139"/>
    <mergeCell ref="B168:H172"/>
    <mergeCell ref="H127:J127"/>
    <mergeCell ref="H128:J128"/>
    <mergeCell ref="H133:J133"/>
    <mergeCell ref="H134:J134"/>
    <mergeCell ref="H135:J135"/>
    <mergeCell ref="H136:J136"/>
    <mergeCell ref="E113:F113"/>
    <mergeCell ref="A146:A156"/>
  </mergeCells>
  <conditionalFormatting sqref="B157">
    <cfRule type="expression" dxfId="4" priority="7">
      <formula>$P$157=0</formula>
    </cfRule>
  </conditionalFormatting>
  <conditionalFormatting sqref="J1:K3">
    <cfRule type="cellIs" dxfId="3" priority="1" operator="equal">
      <formula>0</formula>
    </cfRule>
    <cfRule type="cellIs" dxfId="2" priority="2" operator="greaterThan">
      <formula>0</formula>
    </cfRule>
  </conditionalFormatting>
  <conditionalFormatting sqref="P157">
    <cfRule type="cellIs" dxfId="1" priority="8" operator="equal">
      <formula>0</formula>
    </cfRule>
    <cfRule type="cellIs" dxfId="0" priority="9" operator="greaterThan">
      <formula>0</formula>
    </cfRule>
  </conditionalFormatting>
  <dataValidations count="1">
    <dataValidation type="list" allowBlank="1" showInputMessage="1" showErrorMessage="1" sqref="C147" xr:uid="{00000000-0002-0000-0300-000000000000}">
      <formula1>#REF!</formula1>
    </dataValidation>
  </dataValidations>
  <hyperlinks>
    <hyperlink ref="B2" location="'Additional Offerings (ExhibitB)'!A14" display="Basic Support" xr:uid="{00000000-0004-0000-0300-000000000000}"/>
    <hyperlink ref="B3" location="'Additional Offerings (ExhibitB)'!A27" display="Backup Only" xr:uid="{00000000-0004-0000-0300-000001000000}"/>
    <hyperlink ref="B5" location="'Additional Offerings (ExhibitB)'!A156" display="Order Summary" xr:uid="{00000000-0004-0000-0300-000002000000}"/>
    <hyperlink ref="B4" location="'Additional Offerings (ExhibitB)'!A70" display="UTM Only" xr:uid="{00000000-0004-0000-0300-000003000000}"/>
    <hyperlink ref="B6" location="'Additional Offerings (ExhibitB)'!A168" display="Notes" xr:uid="{00000000-0004-0000-0300-000004000000}"/>
  </hyperlinks>
  <printOptions horizontalCentered="1"/>
  <pageMargins left="0.25" right="0.25" top="1" bottom="0.5" header="0.3" footer="0.1"/>
  <pageSetup scale="32" fitToHeight="0" orientation="portrait" r:id="rId1"/>
  <headerFooter>
    <oddHeader>&amp;C&amp;"-,Bold"&amp;30Collabrance Price Schedule&amp;"-,Regular"&amp;11
&amp;"-,Bold"Exhibit B</oddHeader>
    <oddFooter>&amp;L&amp;10All prices are based on monthly billing cycle.
This document is proprietary and confidential
&amp;R&amp;10Questions? Call 877-715-8485
&amp;F
Page &amp;P</oddFooter>
  </headerFooter>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300-000002000000}">
          <x14:formula1>
            <xm:f>Lookups!$B$39:$B$42</xm:f>
          </x14:formula1>
          <xm:sqref>F10</xm:sqref>
        </x14:dataValidation>
        <x14:dataValidation type="list" allowBlank="1" showInputMessage="1" showErrorMessage="1" xr:uid="{DCF5D724-6304-478D-ABCA-F175A39BD8A6}">
          <x14:formula1>
            <xm:f>Lookups!$B$51:$B$53</xm:f>
          </x14:formula1>
          <xm:sqref>C57 C30 C36 C39:C44 C50:C53 C33</xm:sqref>
        </x14:dataValidation>
        <x14:dataValidation type="list" allowBlank="1" showInputMessage="1" showErrorMessage="1" xr:uid="{DAF91573-0194-40FE-9B9C-1BA73BBF8C33}">
          <x14:formula1>
            <xm:f>Lookups!$B$62:$B$63</xm:f>
          </x14:formula1>
          <xm:sqref>D30 D36 D39:D44 D50:D53 D33 D57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37"/>
  <sheetViews>
    <sheetView zoomScale="90" zoomScaleNormal="90" workbookViewId="0">
      <selection activeCell="B30" sqref="B30"/>
    </sheetView>
  </sheetViews>
  <sheetFormatPr defaultRowHeight="14.4" x14ac:dyDescent="0.3"/>
  <cols>
    <col min="1" max="1" width="10.6640625" customWidth="1"/>
    <col min="2" max="2" width="61.33203125" bestFit="1" customWidth="1"/>
    <col min="3" max="3" width="13.44140625" bestFit="1" customWidth="1"/>
    <col min="4" max="4" width="19.88671875" bestFit="1" customWidth="1"/>
    <col min="5" max="5" width="17.44140625" customWidth="1"/>
    <col min="6" max="6" width="25" bestFit="1" customWidth="1"/>
    <col min="8" max="8" width="41.44140625" bestFit="1" customWidth="1"/>
    <col min="9" max="9" width="30.6640625" bestFit="1" customWidth="1"/>
  </cols>
  <sheetData>
    <row r="1" spans="1:12" x14ac:dyDescent="0.3">
      <c r="A1" s="116" t="s">
        <v>489</v>
      </c>
    </row>
    <row r="2" spans="1:12" x14ac:dyDescent="0.3">
      <c r="A2" s="116"/>
      <c r="B2" t="s">
        <v>490</v>
      </c>
      <c r="C2" s="116"/>
      <c r="D2" s="116"/>
      <c r="E2" s="116"/>
      <c r="F2" s="116"/>
      <c r="G2" s="116"/>
      <c r="H2" s="116"/>
      <c r="I2" s="116"/>
      <c r="J2" s="116"/>
      <c r="K2" s="116"/>
      <c r="L2" s="116"/>
    </row>
    <row r="3" spans="1:12" x14ac:dyDescent="0.3">
      <c r="A3" s="116"/>
      <c r="B3" t="s">
        <v>491</v>
      </c>
      <c r="C3" s="116"/>
      <c r="D3" s="116"/>
      <c r="E3" s="116"/>
      <c r="F3" s="116"/>
      <c r="G3" s="116"/>
      <c r="H3" s="116"/>
      <c r="I3" s="116"/>
      <c r="J3" s="116"/>
      <c r="K3" s="116"/>
      <c r="L3" s="116"/>
    </row>
    <row r="4" spans="1:12" x14ac:dyDescent="0.3">
      <c r="A4" s="116"/>
      <c r="B4" s="116"/>
      <c r="C4" s="116"/>
      <c r="D4" s="116"/>
      <c r="E4" s="116"/>
      <c r="F4" s="116"/>
      <c r="G4" s="116"/>
      <c r="H4" s="116"/>
      <c r="I4" s="116"/>
      <c r="J4" s="116"/>
      <c r="K4" s="116"/>
      <c r="L4" s="116"/>
    </row>
    <row r="5" spans="1:12" s="116" customFormat="1" x14ac:dyDescent="0.3">
      <c r="A5" s="406" t="s">
        <v>73</v>
      </c>
      <c r="B5" s="406" t="s">
        <v>492</v>
      </c>
      <c r="C5" s="406" t="s">
        <v>282</v>
      </c>
      <c r="D5" s="406" t="s">
        <v>493</v>
      </c>
      <c r="E5" s="406" t="s">
        <v>494</v>
      </c>
      <c r="F5" s="406" t="s">
        <v>495</v>
      </c>
      <c r="H5" s="406" t="s">
        <v>496</v>
      </c>
      <c r="I5" s="406" t="s">
        <v>497</v>
      </c>
    </row>
    <row r="6" spans="1:12" x14ac:dyDescent="0.3">
      <c r="A6" s="407"/>
      <c r="B6" s="407"/>
      <c r="C6" s="408"/>
      <c r="D6" s="408">
        <f>A6*C6</f>
        <v>0</v>
      </c>
      <c r="E6" s="408"/>
      <c r="F6" s="408">
        <f>A6*E6</f>
        <v>0</v>
      </c>
      <c r="G6" s="412"/>
      <c r="H6" s="408"/>
      <c r="I6" s="408">
        <f>A6*H6</f>
        <v>0</v>
      </c>
    </row>
    <row r="7" spans="1:12" x14ac:dyDescent="0.3">
      <c r="A7" s="407"/>
      <c r="B7" s="407"/>
      <c r="C7" s="408"/>
      <c r="D7" s="408">
        <f t="shared" ref="D7:D10" si="0">A7*C7</f>
        <v>0</v>
      </c>
      <c r="E7" s="408"/>
      <c r="F7" s="408">
        <f t="shared" ref="F7:F10" si="1">A7*E7</f>
        <v>0</v>
      </c>
      <c r="G7" s="412"/>
      <c r="H7" s="408"/>
      <c r="I7" s="408"/>
    </row>
    <row r="8" spans="1:12" x14ac:dyDescent="0.3">
      <c r="A8" s="407"/>
      <c r="B8" s="407"/>
      <c r="C8" s="408"/>
      <c r="D8" s="408">
        <f t="shared" si="0"/>
        <v>0</v>
      </c>
      <c r="E8" s="408"/>
      <c r="F8" s="408">
        <f t="shared" si="1"/>
        <v>0</v>
      </c>
      <c r="G8" s="412"/>
      <c r="H8" s="408"/>
      <c r="I8" s="408">
        <f t="shared" ref="I8:I10" si="2">A8*H8</f>
        <v>0</v>
      </c>
    </row>
    <row r="9" spans="1:12" x14ac:dyDescent="0.3">
      <c r="A9" s="407"/>
      <c r="B9" s="407"/>
      <c r="C9" s="408"/>
      <c r="D9" s="408">
        <f t="shared" si="0"/>
        <v>0</v>
      </c>
      <c r="E9" s="408"/>
      <c r="F9" s="408">
        <f t="shared" si="1"/>
        <v>0</v>
      </c>
      <c r="G9" s="412"/>
      <c r="H9" s="408"/>
      <c r="I9" s="408">
        <f t="shared" si="2"/>
        <v>0</v>
      </c>
    </row>
    <row r="10" spans="1:12" x14ac:dyDescent="0.3">
      <c r="A10" s="407"/>
      <c r="B10" s="407"/>
      <c r="C10" s="408"/>
      <c r="D10" s="408">
        <f t="shared" si="0"/>
        <v>0</v>
      </c>
      <c r="E10" s="408"/>
      <c r="F10" s="408">
        <f t="shared" si="1"/>
        <v>0</v>
      </c>
      <c r="G10" s="412"/>
      <c r="H10" s="408"/>
      <c r="I10" s="408">
        <f t="shared" si="2"/>
        <v>0</v>
      </c>
    </row>
    <row r="11" spans="1:12" x14ac:dyDescent="0.3">
      <c r="A11" s="407"/>
      <c r="B11" s="407"/>
      <c r="C11" s="407"/>
      <c r="D11" s="406" t="s">
        <v>498</v>
      </c>
      <c r="E11" s="407"/>
      <c r="F11" s="415" t="s">
        <v>499</v>
      </c>
      <c r="H11" s="407"/>
      <c r="I11" s="415" t="s">
        <v>500</v>
      </c>
    </row>
    <row r="12" spans="1:12" s="116" customFormat="1" x14ac:dyDescent="0.3">
      <c r="A12" s="406"/>
      <c r="B12" s="406"/>
      <c r="C12" s="406"/>
      <c r="D12" s="409">
        <f>SUM(D6:D10)</f>
        <v>0</v>
      </c>
      <c r="E12" s="406"/>
      <c r="F12" s="416">
        <f>SUM(F6:F10)</f>
        <v>0</v>
      </c>
      <c r="H12" s="406"/>
      <c r="I12" s="416">
        <f>SUM(I6:I10)</f>
        <v>0</v>
      </c>
    </row>
    <row r="13" spans="1:12" s="116" customFormat="1" x14ac:dyDescent="0.3"/>
    <row r="14" spans="1:12" s="116" customFormat="1" x14ac:dyDescent="0.3">
      <c r="A14" s="406" t="s">
        <v>73</v>
      </c>
      <c r="B14" s="406" t="s">
        <v>501</v>
      </c>
      <c r="C14" s="406" t="s">
        <v>502</v>
      </c>
      <c r="D14" s="409" t="s">
        <v>503</v>
      </c>
      <c r="F14" s="403"/>
      <c r="I14" s="403"/>
    </row>
    <row r="15" spans="1:12" s="116" customFormat="1" x14ac:dyDescent="0.3">
      <c r="A15" s="407"/>
      <c r="B15" s="407"/>
      <c r="C15" s="413"/>
      <c r="D15" s="413">
        <f>A15*C15</f>
        <v>0</v>
      </c>
      <c r="E15" s="411"/>
      <c r="F15" s="411"/>
      <c r="I15" s="403"/>
    </row>
    <row r="16" spans="1:12" s="116" customFormat="1" x14ac:dyDescent="0.3">
      <c r="A16" s="407"/>
      <c r="B16" s="407"/>
      <c r="C16" s="413"/>
      <c r="D16" s="413">
        <f>A16*C16</f>
        <v>0</v>
      </c>
      <c r="E16" s="411"/>
      <c r="F16" s="411"/>
      <c r="I16" s="403"/>
    </row>
    <row r="17" spans="1:18" s="116" customFormat="1" x14ac:dyDescent="0.3">
      <c r="A17" s="407"/>
      <c r="B17" s="407"/>
      <c r="C17" s="413"/>
      <c r="D17" s="413">
        <f>A17*C17</f>
        <v>0</v>
      </c>
      <c r="E17" s="411"/>
      <c r="F17" s="403"/>
      <c r="I17" s="403"/>
    </row>
    <row r="18" spans="1:18" s="116" customFormat="1" x14ac:dyDescent="0.3">
      <c r="A18" s="407"/>
      <c r="B18" s="407"/>
      <c r="C18" s="407"/>
      <c r="D18" s="414"/>
      <c r="F18" s="403"/>
      <c r="I18" s="403"/>
    </row>
    <row r="19" spans="1:18" s="116" customFormat="1" x14ac:dyDescent="0.3">
      <c r="A19" s="406"/>
      <c r="B19" s="406"/>
      <c r="C19" s="406"/>
      <c r="D19" s="409" t="s">
        <v>504</v>
      </c>
      <c r="F19" s="403"/>
      <c r="I19" s="403"/>
    </row>
    <row r="20" spans="1:18" x14ac:dyDescent="0.3">
      <c r="A20" s="407"/>
      <c r="B20" s="406"/>
      <c r="C20" s="406"/>
      <c r="D20" s="409">
        <f>SUM(D15:D18)</f>
        <v>0</v>
      </c>
      <c r="E20" s="404"/>
      <c r="F20" s="404"/>
    </row>
    <row r="21" spans="1:18" x14ac:dyDescent="0.3">
      <c r="B21" s="116"/>
      <c r="C21" s="116"/>
      <c r="D21" s="403"/>
      <c r="E21" s="404"/>
      <c r="F21" s="404"/>
    </row>
    <row r="22" spans="1:18" x14ac:dyDescent="0.3">
      <c r="B22" s="116"/>
      <c r="C22" s="116"/>
      <c r="D22" s="502" t="s">
        <v>505</v>
      </c>
      <c r="E22" s="502"/>
      <c r="F22" s="404"/>
    </row>
    <row r="23" spans="1:18" x14ac:dyDescent="0.3">
      <c r="B23" s="116"/>
      <c r="C23" s="116"/>
      <c r="D23" s="417">
        <f>D12+D20</f>
        <v>0</v>
      </c>
      <c r="E23" s="411"/>
      <c r="F23" s="404"/>
    </row>
    <row r="24" spans="1:18" x14ac:dyDescent="0.3">
      <c r="B24" s="116"/>
      <c r="C24" s="116"/>
      <c r="D24" s="403"/>
      <c r="E24" s="404"/>
      <c r="F24" s="404"/>
    </row>
    <row r="25" spans="1:18" x14ac:dyDescent="0.3">
      <c r="B25" s="116"/>
      <c r="C25" s="116"/>
      <c r="D25" s="403"/>
      <c r="E25" s="404"/>
      <c r="F25" s="404"/>
    </row>
    <row r="26" spans="1:18" s="405" customFormat="1" ht="18" x14ac:dyDescent="0.35">
      <c r="B26" s="405" t="s">
        <v>506</v>
      </c>
      <c r="H26"/>
      <c r="I26"/>
      <c r="J26"/>
      <c r="K26"/>
      <c r="L26"/>
      <c r="M26"/>
      <c r="N26"/>
      <c r="O26"/>
      <c r="P26"/>
      <c r="Q26"/>
      <c r="R26"/>
    </row>
    <row r="27" spans="1:18" s="218" customFormat="1" x14ac:dyDescent="0.3">
      <c r="H27"/>
      <c r="I27"/>
      <c r="J27"/>
      <c r="K27"/>
      <c r="L27"/>
      <c r="M27"/>
      <c r="N27"/>
      <c r="O27"/>
      <c r="P27"/>
      <c r="Q27"/>
      <c r="R27"/>
    </row>
    <row r="28" spans="1:18" s="218" customFormat="1" ht="30" customHeight="1" x14ac:dyDescent="0.3">
      <c r="B28" s="501" t="s">
        <v>507</v>
      </c>
      <c r="C28" s="501"/>
      <c r="D28" s="501"/>
      <c r="H28"/>
      <c r="I28"/>
      <c r="J28"/>
      <c r="K28"/>
      <c r="L28"/>
      <c r="M28"/>
      <c r="N28"/>
      <c r="O28"/>
      <c r="P28"/>
      <c r="Q28"/>
      <c r="R28"/>
    </row>
    <row r="29" spans="1:18" x14ac:dyDescent="0.3">
      <c r="B29" s="116"/>
      <c r="F29" s="410"/>
    </row>
    <row r="33" customFormat="1" x14ac:dyDescent="0.3"/>
    <row r="34" customFormat="1" x14ac:dyDescent="0.3"/>
    <row r="35" customFormat="1" x14ac:dyDescent="0.3"/>
    <row r="36" customFormat="1" x14ac:dyDescent="0.3"/>
    <row r="37" customFormat="1" x14ac:dyDescent="0.3"/>
  </sheetData>
  <mergeCells count="2">
    <mergeCell ref="B28:D28"/>
    <mergeCell ref="D22:E2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10"/>
  <sheetViews>
    <sheetView showGridLines="0" zoomScaleNormal="100" workbookViewId="0">
      <pane ySplit="1" topLeftCell="A2" activePane="bottomLeft" state="frozen"/>
      <selection activeCell="A33" sqref="A33"/>
      <selection pane="bottomLeft" activeCell="B1" sqref="B1"/>
    </sheetView>
  </sheetViews>
  <sheetFormatPr defaultRowHeight="14.4" x14ac:dyDescent="0.3"/>
  <cols>
    <col min="1" max="1" width="2.44140625" customWidth="1"/>
    <col min="2" max="2" width="114.44140625" customWidth="1"/>
  </cols>
  <sheetData>
    <row r="1" spans="2:2" x14ac:dyDescent="0.3">
      <c r="B1" s="116" t="s">
        <v>508</v>
      </c>
    </row>
    <row r="2" spans="2:2" x14ac:dyDescent="0.3">
      <c r="B2" s="116"/>
    </row>
    <row r="3" spans="2:2" x14ac:dyDescent="0.3">
      <c r="B3" s="136" t="s">
        <v>509</v>
      </c>
    </row>
    <row r="4" spans="2:2" x14ac:dyDescent="0.3">
      <c r="B4" s="218" t="s">
        <v>510</v>
      </c>
    </row>
    <row r="5" spans="2:2" x14ac:dyDescent="0.3">
      <c r="B5" s="218" t="s">
        <v>511</v>
      </c>
    </row>
    <row r="6" spans="2:2" x14ac:dyDescent="0.3">
      <c r="B6" s="116" t="s">
        <v>512</v>
      </c>
    </row>
    <row r="7" spans="2:2" x14ac:dyDescent="0.3">
      <c r="B7" s="116" t="s">
        <v>513</v>
      </c>
    </row>
    <row r="8" spans="2:2" x14ac:dyDescent="0.3">
      <c r="B8" t="s">
        <v>514</v>
      </c>
    </row>
    <row r="9" spans="2:2" x14ac:dyDescent="0.3">
      <c r="B9" t="s">
        <v>515</v>
      </c>
    </row>
    <row r="10" spans="2:2" x14ac:dyDescent="0.3">
      <c r="B10" t="s">
        <v>516</v>
      </c>
    </row>
    <row r="11" spans="2:2" x14ac:dyDescent="0.3">
      <c r="B11" t="s">
        <v>517</v>
      </c>
    </row>
    <row r="12" spans="2:2" x14ac:dyDescent="0.3">
      <c r="B12" t="s">
        <v>518</v>
      </c>
    </row>
    <row r="13" spans="2:2" ht="14.4" customHeight="1" x14ac:dyDescent="0.3">
      <c r="B13" t="s">
        <v>519</v>
      </c>
    </row>
    <row r="14" spans="2:2" x14ac:dyDescent="0.3">
      <c r="B14" s="218"/>
    </row>
    <row r="15" spans="2:2" x14ac:dyDescent="0.3">
      <c r="B15" s="136" t="s">
        <v>520</v>
      </c>
    </row>
    <row r="16" spans="2:2" x14ac:dyDescent="0.3">
      <c r="B16" t="s">
        <v>521</v>
      </c>
    </row>
    <row r="17" spans="2:2" x14ac:dyDescent="0.3">
      <c r="B17" s="433" t="s">
        <v>522</v>
      </c>
    </row>
    <row r="18" spans="2:2" x14ac:dyDescent="0.3">
      <c r="B18" t="s">
        <v>523</v>
      </c>
    </row>
    <row r="19" spans="2:2" x14ac:dyDescent="0.3">
      <c r="B19" t="s">
        <v>524</v>
      </c>
    </row>
    <row r="20" spans="2:2" x14ac:dyDescent="0.3">
      <c r="B20" s="116"/>
    </row>
    <row r="21" spans="2:2" s="80" customFormat="1" x14ac:dyDescent="0.3">
      <c r="B21" s="136" t="s">
        <v>525</v>
      </c>
    </row>
    <row r="22" spans="2:2" s="89" customFormat="1" x14ac:dyDescent="0.3">
      <c r="B22" s="80" t="s">
        <v>526</v>
      </c>
    </row>
    <row r="23" spans="2:2" s="89" customFormat="1" x14ac:dyDescent="0.3">
      <c r="B23" s="80" t="s">
        <v>527</v>
      </c>
    </row>
    <row r="24" spans="2:2" s="89" customFormat="1" x14ac:dyDescent="0.3">
      <c r="B24" s="80" t="s">
        <v>528</v>
      </c>
    </row>
    <row r="25" spans="2:2" s="89" customFormat="1" x14ac:dyDescent="0.3">
      <c r="B25" s="80" t="s">
        <v>529</v>
      </c>
    </row>
    <row r="26" spans="2:2" s="89" customFormat="1" x14ac:dyDescent="0.3">
      <c r="B26" s="80" t="s">
        <v>530</v>
      </c>
    </row>
    <row r="27" spans="2:2" s="89" customFormat="1" x14ac:dyDescent="0.3">
      <c r="B27" s="80" t="s">
        <v>531</v>
      </c>
    </row>
    <row r="28" spans="2:2" s="89" customFormat="1" x14ac:dyDescent="0.3">
      <c r="B28" s="80" t="s">
        <v>532</v>
      </c>
    </row>
    <row r="29" spans="2:2" s="89" customFormat="1" x14ac:dyDescent="0.3">
      <c r="B29" s="80" t="s">
        <v>533</v>
      </c>
    </row>
    <row r="30" spans="2:2" s="89" customFormat="1" x14ac:dyDescent="0.3">
      <c r="B30" s="80" t="s">
        <v>534</v>
      </c>
    </row>
    <row r="31" spans="2:2" s="89" customFormat="1" x14ac:dyDescent="0.3">
      <c r="B31" s="80" t="s">
        <v>535</v>
      </c>
    </row>
    <row r="32" spans="2:2" s="89" customFormat="1" x14ac:dyDescent="0.3">
      <c r="B32" s="80" t="s">
        <v>536</v>
      </c>
    </row>
    <row r="33" spans="2:2" s="89" customFormat="1" x14ac:dyDescent="0.3"/>
    <row r="34" spans="2:2" s="80" customFormat="1" x14ac:dyDescent="0.3">
      <c r="B34" s="136" t="s">
        <v>537</v>
      </c>
    </row>
    <row r="35" spans="2:2" s="80" customFormat="1" x14ac:dyDescent="0.3">
      <c r="B35" s="80" t="s">
        <v>538</v>
      </c>
    </row>
    <row r="36" spans="2:2" s="80" customFormat="1" x14ac:dyDescent="0.3">
      <c r="B36" s="80" t="s">
        <v>539</v>
      </c>
    </row>
    <row r="37" spans="2:2" s="80" customFormat="1" x14ac:dyDescent="0.3">
      <c r="B37" s="80" t="s">
        <v>540</v>
      </c>
    </row>
    <row r="38" spans="2:2" s="80" customFormat="1" x14ac:dyDescent="0.3">
      <c r="B38" s="80" t="s">
        <v>541</v>
      </c>
    </row>
    <row r="39" spans="2:2" s="80" customFormat="1" x14ac:dyDescent="0.3">
      <c r="B39" s="80" t="s">
        <v>542</v>
      </c>
    </row>
    <row r="40" spans="2:2" s="80" customFormat="1" x14ac:dyDescent="0.3">
      <c r="B40" s="80" t="s">
        <v>543</v>
      </c>
    </row>
    <row r="41" spans="2:2" x14ac:dyDescent="0.3">
      <c r="B41" s="116"/>
    </row>
    <row r="42" spans="2:2" x14ac:dyDescent="0.3">
      <c r="B42" s="116" t="s">
        <v>544</v>
      </c>
    </row>
    <row r="43" spans="2:2" x14ac:dyDescent="0.3">
      <c r="B43" t="s">
        <v>545</v>
      </c>
    </row>
    <row r="44" spans="2:2" x14ac:dyDescent="0.3">
      <c r="B44" t="s">
        <v>546</v>
      </c>
    </row>
    <row r="45" spans="2:2" x14ac:dyDescent="0.3">
      <c r="B45" t="s">
        <v>547</v>
      </c>
    </row>
    <row r="46" spans="2:2" x14ac:dyDescent="0.3">
      <c r="B46" t="s">
        <v>548</v>
      </c>
    </row>
    <row r="47" spans="2:2" x14ac:dyDescent="0.3">
      <c r="B47" s="116"/>
    </row>
    <row r="48" spans="2:2" s="80" customFormat="1" x14ac:dyDescent="0.3">
      <c r="B48" s="136" t="s">
        <v>549</v>
      </c>
    </row>
    <row r="49" spans="2:2" s="80" customFormat="1" x14ac:dyDescent="0.3">
      <c r="B49" t="s">
        <v>550</v>
      </c>
    </row>
    <row r="50" spans="2:2" s="80" customFormat="1" x14ac:dyDescent="0.3">
      <c r="B50" t="s">
        <v>551</v>
      </c>
    </row>
    <row r="51" spans="2:2" s="80" customFormat="1" x14ac:dyDescent="0.3">
      <c r="B51" t="s">
        <v>552</v>
      </c>
    </row>
    <row r="52" spans="2:2" s="80" customFormat="1" x14ac:dyDescent="0.3">
      <c r="B52"/>
    </row>
    <row r="53" spans="2:2" s="80" customFormat="1" x14ac:dyDescent="0.3">
      <c r="B53" s="136" t="s">
        <v>553</v>
      </c>
    </row>
    <row r="54" spans="2:2" s="80" customFormat="1" x14ac:dyDescent="0.3">
      <c r="B54" s="80" t="s">
        <v>554</v>
      </c>
    </row>
    <row r="55" spans="2:2" s="80" customFormat="1" x14ac:dyDescent="0.3">
      <c r="B55" s="80" t="s">
        <v>555</v>
      </c>
    </row>
    <row r="56" spans="2:2" s="80" customFormat="1" x14ac:dyDescent="0.3">
      <c r="B56" s="392" t="s">
        <v>556</v>
      </c>
    </row>
    <row r="57" spans="2:2" s="80" customFormat="1" x14ac:dyDescent="0.3">
      <c r="B57" s="80" t="s">
        <v>557</v>
      </c>
    </row>
    <row r="58" spans="2:2" s="80" customFormat="1" x14ac:dyDescent="0.3">
      <c r="B58" s="80" t="s">
        <v>558</v>
      </c>
    </row>
    <row r="59" spans="2:2" s="80" customFormat="1" x14ac:dyDescent="0.3">
      <c r="B59" s="80" t="s">
        <v>559</v>
      </c>
    </row>
    <row r="60" spans="2:2" s="80" customFormat="1" x14ac:dyDescent="0.3">
      <c r="B60" s="80" t="s">
        <v>560</v>
      </c>
    </row>
    <row r="61" spans="2:2" s="80" customFormat="1" x14ac:dyDescent="0.3">
      <c r="B61" s="80" t="s">
        <v>561</v>
      </c>
    </row>
    <row r="62" spans="2:2" s="80" customFormat="1" x14ac:dyDescent="0.3">
      <c r="B62" s="80" t="s">
        <v>562</v>
      </c>
    </row>
    <row r="63" spans="2:2" s="80" customFormat="1" x14ac:dyDescent="0.3">
      <c r="B63" s="80" t="s">
        <v>563</v>
      </c>
    </row>
    <row r="64" spans="2:2" s="218" customFormat="1" x14ac:dyDescent="0.3">
      <c r="B64" s="80" t="s">
        <v>564</v>
      </c>
    </row>
    <row r="65" spans="1:2" s="89" customFormat="1" x14ac:dyDescent="0.3"/>
    <row r="66" spans="1:2" x14ac:dyDescent="0.3">
      <c r="B66" s="116" t="s">
        <v>565</v>
      </c>
    </row>
    <row r="67" spans="1:2" x14ac:dyDescent="0.3">
      <c r="B67" t="s">
        <v>566</v>
      </c>
    </row>
    <row r="68" spans="1:2" x14ac:dyDescent="0.3">
      <c r="B68" t="s">
        <v>567</v>
      </c>
    </row>
    <row r="69" spans="1:2" x14ac:dyDescent="0.3">
      <c r="B69" t="s">
        <v>568</v>
      </c>
    </row>
    <row r="70" spans="1:2" x14ac:dyDescent="0.3">
      <c r="B70" t="s">
        <v>569</v>
      </c>
    </row>
    <row r="71" spans="1:2" s="89" customFormat="1" x14ac:dyDescent="0.3">
      <c r="B71" s="218"/>
    </row>
    <row r="72" spans="1:2" x14ac:dyDescent="0.3">
      <c r="A72" s="80"/>
      <c r="B72" s="136" t="s">
        <v>570</v>
      </c>
    </row>
    <row r="73" spans="1:2" x14ac:dyDescent="0.3">
      <c r="A73" s="80"/>
      <c r="B73" s="80" t="s">
        <v>571</v>
      </c>
    </row>
    <row r="74" spans="1:2" x14ac:dyDescent="0.3">
      <c r="A74" s="80"/>
      <c r="B74" s="80" t="s">
        <v>572</v>
      </c>
    </row>
    <row r="75" spans="1:2" x14ac:dyDescent="0.3">
      <c r="A75" s="80"/>
      <c r="B75" s="80" t="s">
        <v>573</v>
      </c>
    </row>
    <row r="76" spans="1:2" x14ac:dyDescent="0.3">
      <c r="A76" s="80"/>
      <c r="B76" s="80" t="s">
        <v>574</v>
      </c>
    </row>
    <row r="77" spans="1:2" x14ac:dyDescent="0.3">
      <c r="A77" s="80"/>
      <c r="B77" s="80"/>
    </row>
    <row r="78" spans="1:2" x14ac:dyDescent="0.3">
      <c r="B78" s="116" t="s">
        <v>575</v>
      </c>
    </row>
    <row r="79" spans="1:2" x14ac:dyDescent="0.3">
      <c r="B79" t="s">
        <v>576</v>
      </c>
    </row>
    <row r="81" spans="2:2" x14ac:dyDescent="0.3">
      <c r="B81" s="136" t="s">
        <v>577</v>
      </c>
    </row>
    <row r="82" spans="2:2" x14ac:dyDescent="0.3">
      <c r="B82" s="80" t="s">
        <v>578</v>
      </c>
    </row>
    <row r="83" spans="2:2" x14ac:dyDescent="0.3">
      <c r="B83" s="80" t="s">
        <v>579</v>
      </c>
    </row>
    <row r="84" spans="2:2" x14ac:dyDescent="0.3">
      <c r="B84" s="80" t="s">
        <v>580</v>
      </c>
    </row>
    <row r="85" spans="2:2" x14ac:dyDescent="0.3">
      <c r="B85" s="80" t="s">
        <v>581</v>
      </c>
    </row>
    <row r="86" spans="2:2" x14ac:dyDescent="0.3">
      <c r="B86" s="116"/>
    </row>
    <row r="87" spans="2:2" x14ac:dyDescent="0.3">
      <c r="B87" s="136" t="s">
        <v>582</v>
      </c>
    </row>
    <row r="88" spans="2:2" x14ac:dyDescent="0.3">
      <c r="B88" s="80" t="s">
        <v>583</v>
      </c>
    </row>
    <row r="89" spans="2:2" x14ac:dyDescent="0.3">
      <c r="B89" s="80" t="s">
        <v>584</v>
      </c>
    </row>
    <row r="90" spans="2:2" x14ac:dyDescent="0.3">
      <c r="B90" s="80" t="s">
        <v>585</v>
      </c>
    </row>
    <row r="91" spans="2:2" x14ac:dyDescent="0.3">
      <c r="B91" s="80" t="s">
        <v>586</v>
      </c>
    </row>
    <row r="92" spans="2:2" x14ac:dyDescent="0.3">
      <c r="B92" s="89"/>
    </row>
    <row r="93" spans="2:2" x14ac:dyDescent="0.3">
      <c r="B93" s="136" t="s">
        <v>587</v>
      </c>
    </row>
    <row r="94" spans="2:2" x14ac:dyDescent="0.3">
      <c r="B94" s="80" t="s">
        <v>588</v>
      </c>
    </row>
    <row r="95" spans="2:2" x14ac:dyDescent="0.3">
      <c r="B95" s="80" t="s">
        <v>589</v>
      </c>
    </row>
    <row r="96" spans="2:2" x14ac:dyDescent="0.3">
      <c r="B96" s="80" t="s">
        <v>590</v>
      </c>
    </row>
    <row r="97" spans="2:2" x14ac:dyDescent="0.3">
      <c r="B97" s="80" t="s">
        <v>591</v>
      </c>
    </row>
    <row r="98" spans="2:2" x14ac:dyDescent="0.3">
      <c r="B98" s="80" t="s">
        <v>592</v>
      </c>
    </row>
    <row r="99" spans="2:2" x14ac:dyDescent="0.3">
      <c r="B99" s="116"/>
    </row>
    <row r="100" spans="2:2" x14ac:dyDescent="0.3">
      <c r="B100" s="136" t="s">
        <v>593</v>
      </c>
    </row>
    <row r="101" spans="2:2" x14ac:dyDescent="0.3">
      <c r="B101" t="s">
        <v>594</v>
      </c>
    </row>
    <row r="102" spans="2:2" x14ac:dyDescent="0.3">
      <c r="B102" s="116"/>
    </row>
    <row r="103" spans="2:2" s="89" customFormat="1" x14ac:dyDescent="0.3">
      <c r="B103" s="136" t="s">
        <v>595</v>
      </c>
    </row>
    <row r="104" spans="2:2" s="89" customFormat="1" x14ac:dyDescent="0.3">
      <c r="B104" s="80" t="s">
        <v>596</v>
      </c>
    </row>
    <row r="105" spans="2:2" x14ac:dyDescent="0.3">
      <c r="B105" s="80" t="s">
        <v>597</v>
      </c>
    </row>
    <row r="106" spans="2:2" s="89" customFormat="1" x14ac:dyDescent="0.3">
      <c r="B106" s="80" t="s">
        <v>598</v>
      </c>
    </row>
    <row r="107" spans="2:2" x14ac:dyDescent="0.3">
      <c r="B107" s="80" t="s">
        <v>599</v>
      </c>
    </row>
    <row r="108" spans="2:2" x14ac:dyDescent="0.3">
      <c r="B108" s="80" t="s">
        <v>600</v>
      </c>
    </row>
    <row r="109" spans="2:2" x14ac:dyDescent="0.3">
      <c r="B109" s="80" t="s">
        <v>601</v>
      </c>
    </row>
    <row r="110" spans="2:2" x14ac:dyDescent="0.3">
      <c r="B110" s="80" t="s">
        <v>602</v>
      </c>
    </row>
    <row r="112" spans="2:2" x14ac:dyDescent="0.3">
      <c r="B112" s="136" t="s">
        <v>603</v>
      </c>
    </row>
    <row r="113" spans="2:2" x14ac:dyDescent="0.3">
      <c r="B113" s="80" t="s">
        <v>604</v>
      </c>
    </row>
    <row r="114" spans="2:2" x14ac:dyDescent="0.3">
      <c r="B114" s="80" t="s">
        <v>605</v>
      </c>
    </row>
    <row r="115" spans="2:2" x14ac:dyDescent="0.3">
      <c r="B115" s="80" t="s">
        <v>606</v>
      </c>
    </row>
    <row r="116" spans="2:2" x14ac:dyDescent="0.3">
      <c r="B116" s="80" t="s">
        <v>607</v>
      </c>
    </row>
    <row r="117" spans="2:2" x14ac:dyDescent="0.3">
      <c r="B117" s="80" t="s">
        <v>608</v>
      </c>
    </row>
    <row r="118" spans="2:2" x14ac:dyDescent="0.3">
      <c r="B118" s="80" t="s">
        <v>609</v>
      </c>
    </row>
    <row r="119" spans="2:2" x14ac:dyDescent="0.3">
      <c r="B119" s="80" t="s">
        <v>610</v>
      </c>
    </row>
    <row r="120" spans="2:2" x14ac:dyDescent="0.3">
      <c r="B120" s="80" t="s">
        <v>611</v>
      </c>
    </row>
    <row r="121" spans="2:2" x14ac:dyDescent="0.3">
      <c r="B121" s="80" t="s">
        <v>612</v>
      </c>
    </row>
    <row r="122" spans="2:2" x14ac:dyDescent="0.3">
      <c r="B122" s="89"/>
    </row>
    <row r="123" spans="2:2" x14ac:dyDescent="0.3">
      <c r="B123" s="116" t="s">
        <v>613</v>
      </c>
    </row>
    <row r="124" spans="2:2" x14ac:dyDescent="0.3">
      <c r="B124" t="s">
        <v>614</v>
      </c>
    </row>
    <row r="125" spans="2:2" x14ac:dyDescent="0.3">
      <c r="B125" t="s">
        <v>615</v>
      </c>
    </row>
    <row r="126" spans="2:2" x14ac:dyDescent="0.3">
      <c r="B126" t="s">
        <v>616</v>
      </c>
    </row>
    <row r="127" spans="2:2" x14ac:dyDescent="0.3">
      <c r="B127" t="s">
        <v>617</v>
      </c>
    </row>
    <row r="128" spans="2:2" x14ac:dyDescent="0.3">
      <c r="B128" t="s">
        <v>618</v>
      </c>
    </row>
    <row r="129" spans="2:2" x14ac:dyDescent="0.3">
      <c r="B129" t="s">
        <v>619</v>
      </c>
    </row>
    <row r="130" spans="2:2" x14ac:dyDescent="0.3">
      <c r="B130" t="s">
        <v>594</v>
      </c>
    </row>
    <row r="131" spans="2:2" x14ac:dyDescent="0.3">
      <c r="B131" t="s">
        <v>620</v>
      </c>
    </row>
    <row r="132" spans="2:2" x14ac:dyDescent="0.3">
      <c r="B132" t="s">
        <v>621</v>
      </c>
    </row>
    <row r="133" spans="2:2" x14ac:dyDescent="0.3">
      <c r="B133" t="s">
        <v>622</v>
      </c>
    </row>
    <row r="134" spans="2:2" x14ac:dyDescent="0.3">
      <c r="B134" t="s">
        <v>623</v>
      </c>
    </row>
    <row r="135" spans="2:2" x14ac:dyDescent="0.3">
      <c r="B135" t="s">
        <v>624</v>
      </c>
    </row>
    <row r="136" spans="2:2" x14ac:dyDescent="0.3">
      <c r="B136" t="s">
        <v>625</v>
      </c>
    </row>
    <row r="137" spans="2:2" x14ac:dyDescent="0.3">
      <c r="B137" t="s">
        <v>626</v>
      </c>
    </row>
    <row r="139" spans="2:2" x14ac:dyDescent="0.3">
      <c r="B139" s="116" t="s">
        <v>627</v>
      </c>
    </row>
    <row r="140" spans="2:2" x14ac:dyDescent="0.3">
      <c r="B140" t="s">
        <v>628</v>
      </c>
    </row>
    <row r="141" spans="2:2" x14ac:dyDescent="0.3">
      <c r="B141" t="s">
        <v>629</v>
      </c>
    </row>
    <row r="142" spans="2:2" x14ac:dyDescent="0.3">
      <c r="B142" t="s">
        <v>630</v>
      </c>
    </row>
    <row r="143" spans="2:2" x14ac:dyDescent="0.3">
      <c r="B143" t="s">
        <v>631</v>
      </c>
    </row>
    <row r="144" spans="2:2" x14ac:dyDescent="0.3">
      <c r="B144" t="s">
        <v>632</v>
      </c>
    </row>
    <row r="145" spans="2:2" x14ac:dyDescent="0.3">
      <c r="B145" t="s">
        <v>633</v>
      </c>
    </row>
    <row r="146" spans="2:2" x14ac:dyDescent="0.3">
      <c r="B146" s="116"/>
    </row>
    <row r="147" spans="2:2" x14ac:dyDescent="0.3">
      <c r="B147" s="116" t="s">
        <v>634</v>
      </c>
    </row>
    <row r="148" spans="2:2" x14ac:dyDescent="0.3">
      <c r="B148" t="s">
        <v>635</v>
      </c>
    </row>
    <row r="149" spans="2:2" x14ac:dyDescent="0.3">
      <c r="B149" t="s">
        <v>636</v>
      </c>
    </row>
    <row r="150" spans="2:2" x14ac:dyDescent="0.3">
      <c r="B150" t="s">
        <v>637</v>
      </c>
    </row>
    <row r="151" spans="2:2" x14ac:dyDescent="0.3">
      <c r="B151" t="s">
        <v>638</v>
      </c>
    </row>
    <row r="152" spans="2:2" x14ac:dyDescent="0.3">
      <c r="B152" t="s">
        <v>639</v>
      </c>
    </row>
    <row r="154" spans="2:2" x14ac:dyDescent="0.3">
      <c r="B154" s="116" t="s">
        <v>640</v>
      </c>
    </row>
    <row r="155" spans="2:2" x14ac:dyDescent="0.3">
      <c r="B155" t="s">
        <v>641</v>
      </c>
    </row>
    <row r="156" spans="2:2" x14ac:dyDescent="0.3">
      <c r="B156" t="s">
        <v>642</v>
      </c>
    </row>
    <row r="157" spans="2:2" x14ac:dyDescent="0.3">
      <c r="B157" t="s">
        <v>643</v>
      </c>
    </row>
    <row r="158" spans="2:2" x14ac:dyDescent="0.3">
      <c r="B158" t="s">
        <v>644</v>
      </c>
    </row>
    <row r="159" spans="2:2" x14ac:dyDescent="0.3">
      <c r="B159" t="s">
        <v>645</v>
      </c>
    </row>
    <row r="160" spans="2:2" x14ac:dyDescent="0.3">
      <c r="B160" t="s">
        <v>646</v>
      </c>
    </row>
    <row r="162" spans="2:2" ht="12.75" customHeight="1" x14ac:dyDescent="0.3">
      <c r="B162" s="136" t="s">
        <v>647</v>
      </c>
    </row>
    <row r="163" spans="2:2" x14ac:dyDescent="0.3">
      <c r="B163" s="80" t="s">
        <v>648</v>
      </c>
    </row>
    <row r="164" spans="2:2" x14ac:dyDescent="0.3">
      <c r="B164" s="80" t="s">
        <v>649</v>
      </c>
    </row>
    <row r="165" spans="2:2" x14ac:dyDescent="0.3">
      <c r="B165" s="80" t="s">
        <v>650</v>
      </c>
    </row>
    <row r="166" spans="2:2" x14ac:dyDescent="0.3">
      <c r="B166" s="116"/>
    </row>
    <row r="167" spans="2:2" x14ac:dyDescent="0.3">
      <c r="B167" s="136" t="s">
        <v>651</v>
      </c>
    </row>
    <row r="168" spans="2:2" x14ac:dyDescent="0.3">
      <c r="B168" t="s">
        <v>652</v>
      </c>
    </row>
    <row r="169" spans="2:2" x14ac:dyDescent="0.3">
      <c r="B169" t="s">
        <v>653</v>
      </c>
    </row>
    <row r="170" spans="2:2" x14ac:dyDescent="0.3">
      <c r="B170" t="s">
        <v>654</v>
      </c>
    </row>
    <row r="171" spans="2:2" x14ac:dyDescent="0.3">
      <c r="B171" t="s">
        <v>655</v>
      </c>
    </row>
    <row r="172" spans="2:2" x14ac:dyDescent="0.3">
      <c r="B172" t="s">
        <v>656</v>
      </c>
    </row>
    <row r="174" spans="2:2" x14ac:dyDescent="0.3">
      <c r="B174" s="136" t="s">
        <v>657</v>
      </c>
    </row>
    <row r="175" spans="2:2" x14ac:dyDescent="0.3">
      <c r="B175" t="s">
        <v>658</v>
      </c>
    </row>
    <row r="176" spans="2:2" x14ac:dyDescent="0.3">
      <c r="B176" t="s">
        <v>659</v>
      </c>
    </row>
    <row r="177" spans="2:2" x14ac:dyDescent="0.3">
      <c r="B177" t="s">
        <v>660</v>
      </c>
    </row>
    <row r="178" spans="2:2" x14ac:dyDescent="0.3">
      <c r="B178" t="s">
        <v>661</v>
      </c>
    </row>
    <row r="179" spans="2:2" x14ac:dyDescent="0.3">
      <c r="B179" t="s">
        <v>662</v>
      </c>
    </row>
    <row r="180" spans="2:2" x14ac:dyDescent="0.3">
      <c r="B180" t="s">
        <v>663</v>
      </c>
    </row>
    <row r="181" spans="2:2" x14ac:dyDescent="0.3">
      <c r="B181" t="s">
        <v>664</v>
      </c>
    </row>
    <row r="182" spans="2:2" x14ac:dyDescent="0.3">
      <c r="B182" t="s">
        <v>665</v>
      </c>
    </row>
    <row r="183" spans="2:2" x14ac:dyDescent="0.3">
      <c r="B183" t="s">
        <v>666</v>
      </c>
    </row>
    <row r="184" spans="2:2" x14ac:dyDescent="0.3">
      <c r="B184" t="s">
        <v>667</v>
      </c>
    </row>
    <row r="185" spans="2:2" x14ac:dyDescent="0.3">
      <c r="B185" s="184" t="s">
        <v>668</v>
      </c>
    </row>
    <row r="186" spans="2:2" x14ac:dyDescent="0.3">
      <c r="B186" s="184" t="s">
        <v>669</v>
      </c>
    </row>
    <row r="187" spans="2:2" x14ac:dyDescent="0.3">
      <c r="B187" s="184" t="s">
        <v>670</v>
      </c>
    </row>
    <row r="188" spans="2:2" x14ac:dyDescent="0.3">
      <c r="B188" s="184" t="s">
        <v>671</v>
      </c>
    </row>
    <row r="189" spans="2:2" x14ac:dyDescent="0.3">
      <c r="B189" s="116"/>
    </row>
    <row r="190" spans="2:2" x14ac:dyDescent="0.3">
      <c r="B190" s="136" t="s">
        <v>672</v>
      </c>
    </row>
    <row r="191" spans="2:2" x14ac:dyDescent="0.3">
      <c r="B191" t="s">
        <v>673</v>
      </c>
    </row>
    <row r="192" spans="2:2" x14ac:dyDescent="0.3">
      <c r="B192" t="s">
        <v>674</v>
      </c>
    </row>
    <row r="193" spans="2:2" x14ac:dyDescent="0.3">
      <c r="B193" t="s">
        <v>675</v>
      </c>
    </row>
    <row r="194" spans="2:2" x14ac:dyDescent="0.3">
      <c r="B194" s="116"/>
    </row>
    <row r="195" spans="2:2" x14ac:dyDescent="0.3">
      <c r="B195" s="136" t="s">
        <v>676</v>
      </c>
    </row>
    <row r="196" spans="2:2" x14ac:dyDescent="0.3">
      <c r="B196" t="s">
        <v>677</v>
      </c>
    </row>
    <row r="197" spans="2:2" x14ac:dyDescent="0.3">
      <c r="B197" t="s">
        <v>678</v>
      </c>
    </row>
    <row r="198" spans="2:2" x14ac:dyDescent="0.3">
      <c r="B198" t="s">
        <v>679</v>
      </c>
    </row>
    <row r="199" spans="2:2" x14ac:dyDescent="0.3">
      <c r="B199" t="s">
        <v>680</v>
      </c>
    </row>
    <row r="200" spans="2:2" x14ac:dyDescent="0.3">
      <c r="B200" t="s">
        <v>681</v>
      </c>
    </row>
    <row r="201" spans="2:2" x14ac:dyDescent="0.3">
      <c r="B201" t="s">
        <v>682</v>
      </c>
    </row>
    <row r="202" spans="2:2" x14ac:dyDescent="0.3">
      <c r="B202" t="s">
        <v>683</v>
      </c>
    </row>
    <row r="204" spans="2:2" x14ac:dyDescent="0.3">
      <c r="B204" s="136" t="s">
        <v>684</v>
      </c>
    </row>
    <row r="205" spans="2:2" x14ac:dyDescent="0.3">
      <c r="B205" t="s">
        <v>685</v>
      </c>
    </row>
    <row r="206" spans="2:2" x14ac:dyDescent="0.3">
      <c r="B206" s="149" t="s">
        <v>686</v>
      </c>
    </row>
    <row r="207" spans="2:2" x14ac:dyDescent="0.3">
      <c r="B207" s="149" t="s">
        <v>687</v>
      </c>
    </row>
    <row r="208" spans="2:2" x14ac:dyDescent="0.3">
      <c r="B208" s="149" t="s">
        <v>688</v>
      </c>
    </row>
    <row r="209" spans="2:2" x14ac:dyDescent="0.3">
      <c r="B209" s="149" t="s">
        <v>689</v>
      </c>
    </row>
    <row r="210" spans="2:2" x14ac:dyDescent="0.3">
      <c r="B210" s="149" t="s">
        <v>690</v>
      </c>
    </row>
    <row r="211" spans="2:2" x14ac:dyDescent="0.3">
      <c r="B211" s="149" t="s">
        <v>691</v>
      </c>
    </row>
    <row r="212" spans="2:2" x14ac:dyDescent="0.3">
      <c r="B212" s="149" t="s">
        <v>692</v>
      </c>
    </row>
    <row r="214" spans="2:2" ht="15.9" customHeight="1" x14ac:dyDescent="0.3">
      <c r="B214" s="136" t="s">
        <v>693</v>
      </c>
    </row>
    <row r="215" spans="2:2" ht="15.9" customHeight="1" x14ac:dyDescent="0.3">
      <c r="B215" s="80" t="s">
        <v>694</v>
      </c>
    </row>
    <row r="216" spans="2:2" ht="15.9" customHeight="1" x14ac:dyDescent="0.3">
      <c r="B216" s="80" t="s">
        <v>695</v>
      </c>
    </row>
    <row r="217" spans="2:2" x14ac:dyDescent="0.3">
      <c r="B217" s="80" t="s">
        <v>696</v>
      </c>
    </row>
    <row r="218" spans="2:2" x14ac:dyDescent="0.3">
      <c r="B218" s="80" t="s">
        <v>697</v>
      </c>
    </row>
    <row r="219" spans="2:2" x14ac:dyDescent="0.3">
      <c r="B219" s="80" t="s">
        <v>698</v>
      </c>
    </row>
    <row r="220" spans="2:2" x14ac:dyDescent="0.3">
      <c r="B220" s="80" t="s">
        <v>699</v>
      </c>
    </row>
    <row r="221" spans="2:2" x14ac:dyDescent="0.3">
      <c r="B221" s="80" t="s">
        <v>700</v>
      </c>
    </row>
    <row r="222" spans="2:2" x14ac:dyDescent="0.3">
      <c r="B222" s="80" t="s">
        <v>701</v>
      </c>
    </row>
    <row r="224" spans="2:2" x14ac:dyDescent="0.3">
      <c r="B224" s="116" t="s">
        <v>702</v>
      </c>
    </row>
    <row r="225" spans="2:2" x14ac:dyDescent="0.3">
      <c r="B225" t="s">
        <v>703</v>
      </c>
    </row>
    <row r="226" spans="2:2" x14ac:dyDescent="0.3">
      <c r="B226" t="s">
        <v>704</v>
      </c>
    </row>
    <row r="227" spans="2:2" x14ac:dyDescent="0.3">
      <c r="B227" t="s">
        <v>705</v>
      </c>
    </row>
    <row r="228" spans="2:2" x14ac:dyDescent="0.3">
      <c r="B228" t="s">
        <v>706</v>
      </c>
    </row>
    <row r="229" spans="2:2" x14ac:dyDescent="0.3">
      <c r="B229" t="s">
        <v>707</v>
      </c>
    </row>
    <row r="230" spans="2:2" x14ac:dyDescent="0.3">
      <c r="B230" t="s">
        <v>708</v>
      </c>
    </row>
    <row r="231" spans="2:2" x14ac:dyDescent="0.3">
      <c r="B231" t="s">
        <v>709</v>
      </c>
    </row>
    <row r="232" spans="2:2" x14ac:dyDescent="0.3">
      <c r="B232" t="s">
        <v>710</v>
      </c>
    </row>
    <row r="233" spans="2:2" x14ac:dyDescent="0.3">
      <c r="B233" t="s">
        <v>711</v>
      </c>
    </row>
    <row r="234" spans="2:2" x14ac:dyDescent="0.3">
      <c r="B234" s="89"/>
    </row>
    <row r="235" spans="2:2" x14ac:dyDescent="0.3">
      <c r="B235" s="136" t="s">
        <v>712</v>
      </c>
    </row>
    <row r="236" spans="2:2" x14ac:dyDescent="0.3">
      <c r="B236" t="s">
        <v>713</v>
      </c>
    </row>
    <row r="237" spans="2:2" x14ac:dyDescent="0.3">
      <c r="B237" t="s">
        <v>714</v>
      </c>
    </row>
    <row r="238" spans="2:2" x14ac:dyDescent="0.3">
      <c r="B238" t="s">
        <v>715</v>
      </c>
    </row>
    <row r="239" spans="2:2" x14ac:dyDescent="0.3">
      <c r="B239" t="s">
        <v>716</v>
      </c>
    </row>
    <row r="240" spans="2:2" x14ac:dyDescent="0.3">
      <c r="B240" t="s">
        <v>717</v>
      </c>
    </row>
    <row r="241" spans="2:2" x14ac:dyDescent="0.3">
      <c r="B241" t="s">
        <v>718</v>
      </c>
    </row>
    <row r="242" spans="2:2" x14ac:dyDescent="0.3">
      <c r="B242" t="s">
        <v>719</v>
      </c>
    </row>
    <row r="243" spans="2:2" x14ac:dyDescent="0.3">
      <c r="B243" t="s">
        <v>720</v>
      </c>
    </row>
    <row r="244" spans="2:2" x14ac:dyDescent="0.3">
      <c r="B244" s="116"/>
    </row>
    <row r="245" spans="2:2" x14ac:dyDescent="0.3">
      <c r="B245" s="136" t="s">
        <v>721</v>
      </c>
    </row>
    <row r="246" spans="2:2" x14ac:dyDescent="0.3">
      <c r="B246" t="s">
        <v>722</v>
      </c>
    </row>
    <row r="247" spans="2:2" x14ac:dyDescent="0.3">
      <c r="B247" s="80" t="s">
        <v>723</v>
      </c>
    </row>
    <row r="248" spans="2:2" x14ac:dyDescent="0.3">
      <c r="B248" t="s">
        <v>724</v>
      </c>
    </row>
    <row r="249" spans="2:2" x14ac:dyDescent="0.3">
      <c r="B249" t="s">
        <v>725</v>
      </c>
    </row>
    <row r="250" spans="2:2" x14ac:dyDescent="0.3">
      <c r="B250" t="s">
        <v>726</v>
      </c>
    </row>
    <row r="251" spans="2:2" x14ac:dyDescent="0.3">
      <c r="B251" t="s">
        <v>727</v>
      </c>
    </row>
    <row r="252" spans="2:2" x14ac:dyDescent="0.3">
      <c r="B252" t="s">
        <v>728</v>
      </c>
    </row>
    <row r="253" spans="2:2" x14ac:dyDescent="0.3">
      <c r="B253" t="s">
        <v>729</v>
      </c>
    </row>
    <row r="254" spans="2:2" x14ac:dyDescent="0.3">
      <c r="B254" t="s">
        <v>730</v>
      </c>
    </row>
    <row r="255" spans="2:2" ht="14.25" customHeight="1" x14ac:dyDescent="0.3">
      <c r="B255" s="89"/>
    </row>
    <row r="256" spans="2:2" x14ac:dyDescent="0.3">
      <c r="B256" s="116" t="s">
        <v>731</v>
      </c>
    </row>
    <row r="257" spans="2:2" x14ac:dyDescent="0.3">
      <c r="B257" t="s">
        <v>732</v>
      </c>
    </row>
    <row r="258" spans="2:2" x14ac:dyDescent="0.3">
      <c r="B258" t="s">
        <v>733</v>
      </c>
    </row>
    <row r="259" spans="2:2" x14ac:dyDescent="0.3">
      <c r="B259" t="s">
        <v>734</v>
      </c>
    </row>
    <row r="260" spans="2:2" x14ac:dyDescent="0.3">
      <c r="B260" t="s">
        <v>735</v>
      </c>
    </row>
    <row r="261" spans="2:2" x14ac:dyDescent="0.3">
      <c r="B261" t="s">
        <v>736</v>
      </c>
    </row>
    <row r="263" spans="2:2" x14ac:dyDescent="0.3">
      <c r="B263" s="116" t="s">
        <v>737</v>
      </c>
    </row>
    <row r="264" spans="2:2" x14ac:dyDescent="0.3">
      <c r="B264" t="s">
        <v>738</v>
      </c>
    </row>
    <row r="265" spans="2:2" x14ac:dyDescent="0.3">
      <c r="B265" t="s">
        <v>739</v>
      </c>
    </row>
    <row r="266" spans="2:2" x14ac:dyDescent="0.3">
      <c r="B266" t="s">
        <v>740</v>
      </c>
    </row>
    <row r="267" spans="2:2" x14ac:dyDescent="0.3">
      <c r="B267" t="s">
        <v>741</v>
      </c>
    </row>
    <row r="268" spans="2:2" x14ac:dyDescent="0.3">
      <c r="B268" t="s">
        <v>742</v>
      </c>
    </row>
    <row r="270" spans="2:2" x14ac:dyDescent="0.3">
      <c r="B270" s="116" t="s">
        <v>743</v>
      </c>
    </row>
    <row r="271" spans="2:2" x14ac:dyDescent="0.3">
      <c r="B271" t="s">
        <v>744</v>
      </c>
    </row>
    <row r="272" spans="2:2" x14ac:dyDescent="0.3">
      <c r="B272" t="s">
        <v>745</v>
      </c>
    </row>
    <row r="273" spans="2:2" x14ac:dyDescent="0.3">
      <c r="B273" t="s">
        <v>746</v>
      </c>
    </row>
    <row r="274" spans="2:2" x14ac:dyDescent="0.3">
      <c r="B274" t="s">
        <v>747</v>
      </c>
    </row>
    <row r="275" spans="2:2" x14ac:dyDescent="0.3">
      <c r="B275" t="s">
        <v>748</v>
      </c>
    </row>
    <row r="276" spans="2:2" x14ac:dyDescent="0.3">
      <c r="B276" t="s">
        <v>749</v>
      </c>
    </row>
    <row r="277" spans="2:2" x14ac:dyDescent="0.3">
      <c r="B277" t="s">
        <v>750</v>
      </c>
    </row>
    <row r="278" spans="2:2" x14ac:dyDescent="0.3">
      <c r="B278" t="s">
        <v>751</v>
      </c>
    </row>
    <row r="280" spans="2:2" x14ac:dyDescent="0.3">
      <c r="B280" s="116" t="s">
        <v>752</v>
      </c>
    </row>
    <row r="281" spans="2:2" x14ac:dyDescent="0.3">
      <c r="B281" t="s">
        <v>753</v>
      </c>
    </row>
    <row r="282" spans="2:2" x14ac:dyDescent="0.3">
      <c r="B282" t="s">
        <v>754</v>
      </c>
    </row>
    <row r="283" spans="2:2" x14ac:dyDescent="0.3">
      <c r="B283" t="s">
        <v>755</v>
      </c>
    </row>
    <row r="284" spans="2:2" x14ac:dyDescent="0.3">
      <c r="B284" t="s">
        <v>756</v>
      </c>
    </row>
    <row r="285" spans="2:2" x14ac:dyDescent="0.3">
      <c r="B285" t="s">
        <v>757</v>
      </c>
    </row>
    <row r="286" spans="2:2" x14ac:dyDescent="0.3">
      <c r="B286" t="s">
        <v>758</v>
      </c>
    </row>
    <row r="288" spans="2:2" x14ac:dyDescent="0.3">
      <c r="B288" s="116" t="s">
        <v>759</v>
      </c>
    </row>
    <row r="289" spans="2:2" x14ac:dyDescent="0.3">
      <c r="B289" t="s">
        <v>760</v>
      </c>
    </row>
    <row r="290" spans="2:2" x14ac:dyDescent="0.3">
      <c r="B290" t="s">
        <v>761</v>
      </c>
    </row>
    <row r="291" spans="2:2" x14ac:dyDescent="0.3">
      <c r="B291" t="s">
        <v>762</v>
      </c>
    </row>
    <row r="292" spans="2:2" x14ac:dyDescent="0.3">
      <c r="B292" t="s">
        <v>763</v>
      </c>
    </row>
    <row r="293" spans="2:2" x14ac:dyDescent="0.3">
      <c r="B293" t="s">
        <v>764</v>
      </c>
    </row>
    <row r="294" spans="2:2" x14ac:dyDescent="0.3">
      <c r="B294" t="s">
        <v>765</v>
      </c>
    </row>
    <row r="295" spans="2:2" x14ac:dyDescent="0.3">
      <c r="B295" t="s">
        <v>766</v>
      </c>
    </row>
    <row r="296" spans="2:2" x14ac:dyDescent="0.3">
      <c r="B296" t="s">
        <v>767</v>
      </c>
    </row>
    <row r="298" spans="2:2" x14ac:dyDescent="0.3">
      <c r="B298" s="116" t="s">
        <v>768</v>
      </c>
    </row>
    <row r="299" spans="2:2" x14ac:dyDescent="0.3">
      <c r="B299" t="s">
        <v>769</v>
      </c>
    </row>
    <row r="300" spans="2:2" x14ac:dyDescent="0.3">
      <c r="B300" t="s">
        <v>770</v>
      </c>
    </row>
    <row r="301" spans="2:2" x14ac:dyDescent="0.3">
      <c r="B301" t="s">
        <v>771</v>
      </c>
    </row>
    <row r="302" spans="2:2" x14ac:dyDescent="0.3">
      <c r="B302" t="s">
        <v>772</v>
      </c>
    </row>
    <row r="303" spans="2:2" x14ac:dyDescent="0.3">
      <c r="B303" t="s">
        <v>773</v>
      </c>
    </row>
    <row r="304" spans="2:2" x14ac:dyDescent="0.3">
      <c r="B304" t="s">
        <v>774</v>
      </c>
    </row>
    <row r="306" spans="2:2" x14ac:dyDescent="0.3">
      <c r="B306" s="116" t="s">
        <v>775</v>
      </c>
    </row>
    <row r="307" spans="2:2" x14ac:dyDescent="0.3">
      <c r="B307" t="s">
        <v>776</v>
      </c>
    </row>
    <row r="309" spans="2:2" x14ac:dyDescent="0.3">
      <c r="B309" s="116" t="s">
        <v>777</v>
      </c>
    </row>
    <row r="310" spans="2:2" x14ac:dyDescent="0.3">
      <c r="B310" t="s">
        <v>778</v>
      </c>
    </row>
  </sheetData>
  <sheetProtection algorithmName="SHA-512" hashValue="RzWXdrrq8UZQvo78YznLdFvGsrkKRmJBzfWLCfiF4FWsxeW0RpwXuEa7bw+smmhpE8op9p5rQxtTawr9OLPjMg==" saltValue="EUZZS24SLMXY1llsVSadpA==" spinCount="100000" sheet="1" selectLockedCells="1"/>
  <printOptions horizontalCentered="1"/>
  <pageMargins left="0.25" right="0.25" top="1" bottom="0.5" header="0.3" footer="0.1"/>
  <pageSetup scale="38" orientation="portrait" r:id="rId1"/>
  <headerFooter>
    <oddHeader>&amp;C&amp;"-,Bold"&amp;30Collabrance Price Schedule&amp;"-,Regular"&amp;11
&amp;"-,Bold"Exhibit B</oddHeader>
    <oddFooter>&amp;L&amp;10All prices are based on monthly billing cycle.
This document is proprietary and confidential
&amp;R&amp;10Questions? Call 877-715-8485
&amp;F
Page &amp;P</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sheetPr>
  <dimension ref="A2:L124"/>
  <sheetViews>
    <sheetView topLeftCell="A109" workbookViewId="0">
      <selection activeCell="C137" sqref="C137"/>
    </sheetView>
  </sheetViews>
  <sheetFormatPr defaultRowHeight="14.4" x14ac:dyDescent="0.3"/>
  <cols>
    <col min="1" max="1" width="22.44140625" customWidth="1"/>
    <col min="2" max="2" width="62.44140625" bestFit="1" customWidth="1"/>
    <col min="3" max="5" width="17.5546875" customWidth="1"/>
    <col min="6" max="7" width="27.44140625" bestFit="1" customWidth="1"/>
    <col min="8" max="8" width="15" customWidth="1"/>
  </cols>
  <sheetData>
    <row r="2" spans="2:7" x14ac:dyDescent="0.3">
      <c r="B2" s="236" t="s">
        <v>779</v>
      </c>
    </row>
    <row r="3" spans="2:7" x14ac:dyDescent="0.3">
      <c r="B3" t="s">
        <v>1</v>
      </c>
      <c r="C3" t="s">
        <v>3</v>
      </c>
      <c r="D3" t="s">
        <v>4</v>
      </c>
      <c r="E3" t="s">
        <v>266</v>
      </c>
      <c r="F3" t="s">
        <v>6</v>
      </c>
      <c r="G3" t="s">
        <v>780</v>
      </c>
    </row>
    <row r="4" spans="2:7" x14ac:dyDescent="0.3">
      <c r="B4" t="s">
        <v>59</v>
      </c>
      <c r="C4" s="98">
        <f>'NOC Services (ExhibitB)'!M170</f>
        <v>0</v>
      </c>
      <c r="D4" s="98">
        <f>'NOC Services (ExhibitB)'!N170</f>
        <v>0</v>
      </c>
      <c r="E4" s="98">
        <f>'NOC Services (ExhibitB)'!O170</f>
        <v>0</v>
      </c>
      <c r="F4" s="98">
        <f>IF('NOC Services (ExhibitB)'!P171&gt;0,250,'NOC Services (ExhibitB)'!P170)</f>
        <v>0</v>
      </c>
      <c r="G4">
        <f>'NOC Services (ExhibitB)'!B15</f>
        <v>0</v>
      </c>
    </row>
    <row r="5" spans="2:7" x14ac:dyDescent="0.3">
      <c r="B5" t="s">
        <v>271</v>
      </c>
      <c r="C5" s="98">
        <f>'NOC+Service Desk (ExhibitB)'!M314</f>
        <v>0</v>
      </c>
      <c r="D5" s="98">
        <f>'NOC+Service Desk (ExhibitB)'!N314</f>
        <v>0</v>
      </c>
      <c r="E5" s="98">
        <f>'NOC+Service Desk (ExhibitB)'!O314</f>
        <v>0</v>
      </c>
      <c r="F5" s="98">
        <f>IF('NOC+Service Desk (ExhibitB)'!P315&gt;0,250,'NOC+Service Desk (ExhibitB)'!P314)</f>
        <v>0</v>
      </c>
      <c r="G5">
        <f>'NOC+Service Desk (ExhibitB)'!B16</f>
        <v>0</v>
      </c>
    </row>
    <row r="6" spans="2:7" x14ac:dyDescent="0.3">
      <c r="B6" t="s">
        <v>471</v>
      </c>
      <c r="C6" s="98">
        <f>'Additional Offerings (ExhibitB)'!M156</f>
        <v>0</v>
      </c>
      <c r="D6" s="98">
        <f>'Additional Offerings (ExhibitB)'!N156</f>
        <v>0</v>
      </c>
      <c r="E6" s="98">
        <f>'Additional Offerings (ExhibitB)'!O156</f>
        <v>0</v>
      </c>
      <c r="F6" s="98">
        <f>IF('Additional Offerings (ExhibitB)'!P157&gt;0,250,'Additional Offerings (ExhibitB)'!P156)</f>
        <v>0</v>
      </c>
      <c r="G6">
        <f>SUM('Additional Offerings (ExhibitB)'!B16)</f>
        <v>0</v>
      </c>
    </row>
    <row r="10" spans="2:7" x14ac:dyDescent="0.3">
      <c r="B10" s="236" t="s">
        <v>781</v>
      </c>
      <c r="C10" t="s">
        <v>782</v>
      </c>
    </row>
    <row r="11" spans="2:7" x14ac:dyDescent="0.3">
      <c r="B11" t="s">
        <v>59</v>
      </c>
      <c r="C11">
        <f>IF('NOC Services (ExhibitB)'!P170&gt;0,1,0)</f>
        <v>0</v>
      </c>
    </row>
    <row r="12" spans="2:7" x14ac:dyDescent="0.3">
      <c r="B12" t="s">
        <v>271</v>
      </c>
      <c r="C12">
        <f>IF('NOC+Service Desk (ExhibitB)'!P314&gt;0,1,0)</f>
        <v>0</v>
      </c>
    </row>
    <row r="13" spans="2:7" x14ac:dyDescent="0.3">
      <c r="B13" s="237" t="s">
        <v>471</v>
      </c>
      <c r="C13" s="237">
        <f>IF('Additional Offerings (ExhibitB)'!P156&gt;0,1,0)</f>
        <v>0</v>
      </c>
    </row>
    <row r="14" spans="2:7" x14ac:dyDescent="0.3">
      <c r="C14">
        <f>SUM(C11:C13)</f>
        <v>0</v>
      </c>
    </row>
    <row r="19" spans="2:5" x14ac:dyDescent="0.3">
      <c r="B19" s="236" t="s">
        <v>783</v>
      </c>
      <c r="D19" s="236" t="s">
        <v>784</v>
      </c>
    </row>
    <row r="20" spans="2:5" x14ac:dyDescent="0.3">
      <c r="B20" t="s">
        <v>785</v>
      </c>
      <c r="D20" t="s">
        <v>786</v>
      </c>
    </row>
    <row r="21" spans="2:5" x14ac:dyDescent="0.3">
      <c r="B21" t="s">
        <v>787</v>
      </c>
      <c r="D21" s="80" t="s">
        <v>788</v>
      </c>
    </row>
    <row r="22" spans="2:5" x14ac:dyDescent="0.3">
      <c r="B22" s="80" t="s">
        <v>789</v>
      </c>
    </row>
    <row r="25" spans="2:5" x14ac:dyDescent="0.3">
      <c r="B25" s="236" t="s">
        <v>790</v>
      </c>
      <c r="D25" s="240" t="s">
        <v>791</v>
      </c>
      <c r="E25" s="240" t="s">
        <v>792</v>
      </c>
    </row>
    <row r="26" spans="2:5" x14ac:dyDescent="0.3">
      <c r="B26" t="s">
        <v>59</v>
      </c>
      <c r="D26">
        <f>SUMIF('NOC Services (ExhibitB)'!$D$3:$D$939,$D$20,'NOC Services (ExhibitB)'!$P$3:$P$939)</f>
        <v>0</v>
      </c>
      <c r="E26">
        <f>SUMIF('NOC Services (ExhibitB)'!$D$3:$D$939,$D$21,'NOC Services (ExhibitB)'!$P$3:$P$939)</f>
        <v>0</v>
      </c>
    </row>
    <row r="27" spans="2:5" x14ac:dyDescent="0.3">
      <c r="B27" t="s">
        <v>793</v>
      </c>
      <c r="D27">
        <f>SUMIF('NOC+Service Desk (ExhibitB)'!$D$3:$D$982,$D$20,'NOC+Service Desk (ExhibitB)'!$P$3:$P$982)</f>
        <v>0</v>
      </c>
      <c r="E27">
        <f>SUMIF('NOC+Service Desk (ExhibitB)'!$D$3:$D$982,$D$21,'NOC+Service Desk (ExhibitB)'!$P$3:$P$982)</f>
        <v>0</v>
      </c>
    </row>
    <row r="28" spans="2:5" x14ac:dyDescent="0.3">
      <c r="B28" t="s">
        <v>471</v>
      </c>
      <c r="D28">
        <f>SUMIF('Additional Offerings (ExhibitB)'!$D$3:$D$945,$D$20,'Additional Offerings (ExhibitB)'!$P$3:$P$945)</f>
        <v>0</v>
      </c>
      <c r="E28">
        <f>SUMIF('Additional Offerings (ExhibitB)'!$D$3:$D$945,$D$21,'Additional Offerings (ExhibitB)'!$P$3:$P$945)</f>
        <v>0</v>
      </c>
    </row>
    <row r="34" spans="1:3" x14ac:dyDescent="0.3">
      <c r="B34" s="236" t="s">
        <v>794</v>
      </c>
    </row>
    <row r="35" spans="1:3" x14ac:dyDescent="0.3">
      <c r="B35" t="s">
        <v>795</v>
      </c>
    </row>
    <row r="36" spans="1:3" x14ac:dyDescent="0.3">
      <c r="B36" t="s">
        <v>796</v>
      </c>
    </row>
    <row r="38" spans="1:3" x14ac:dyDescent="0.3">
      <c r="B38" s="236" t="s">
        <v>797</v>
      </c>
    </row>
    <row r="39" spans="1:3" x14ac:dyDescent="0.3">
      <c r="A39" s="231" t="s">
        <v>798</v>
      </c>
    </row>
    <row r="40" spans="1:3" x14ac:dyDescent="0.3">
      <c r="B40" t="s">
        <v>799</v>
      </c>
      <c r="C40" t="s">
        <v>800</v>
      </c>
    </row>
    <row r="41" spans="1:3" x14ac:dyDescent="0.3">
      <c r="B41" t="s">
        <v>801</v>
      </c>
      <c r="C41" t="s">
        <v>802</v>
      </c>
    </row>
    <row r="42" spans="1:3" x14ac:dyDescent="0.3">
      <c r="B42" t="s">
        <v>803</v>
      </c>
      <c r="C42" t="s">
        <v>804</v>
      </c>
    </row>
    <row r="45" spans="1:3" x14ac:dyDescent="0.3">
      <c r="B45" s="236" t="s">
        <v>805</v>
      </c>
    </row>
    <row r="46" spans="1:3" x14ac:dyDescent="0.3">
      <c r="B46" t="s">
        <v>99</v>
      </c>
    </row>
    <row r="47" spans="1:3" x14ac:dyDescent="0.3">
      <c r="B47" t="s">
        <v>101</v>
      </c>
    </row>
    <row r="50" spans="2:2" x14ac:dyDescent="0.3">
      <c r="B50" s="236" t="s">
        <v>805</v>
      </c>
    </row>
    <row r="51" spans="2:2" x14ac:dyDescent="0.3">
      <c r="B51" t="s">
        <v>99</v>
      </c>
    </row>
    <row r="52" spans="2:2" x14ac:dyDescent="0.3">
      <c r="B52" t="s">
        <v>100</v>
      </c>
    </row>
    <row r="53" spans="2:2" x14ac:dyDescent="0.3">
      <c r="B53" t="s">
        <v>101</v>
      </c>
    </row>
    <row r="61" spans="2:2" x14ac:dyDescent="0.3">
      <c r="B61" s="236" t="s">
        <v>806</v>
      </c>
    </row>
    <row r="62" spans="2:2" x14ac:dyDescent="0.3">
      <c r="B62" t="s">
        <v>429</v>
      </c>
    </row>
    <row r="63" spans="2:2" x14ac:dyDescent="0.3">
      <c r="B63" t="s">
        <v>102</v>
      </c>
    </row>
    <row r="67" spans="2:3" x14ac:dyDescent="0.3">
      <c r="B67" s="236" t="s">
        <v>5</v>
      </c>
    </row>
    <row r="68" spans="2:3" x14ac:dyDescent="0.3">
      <c r="B68" s="327">
        <v>70</v>
      </c>
      <c r="C68" t="s">
        <v>807</v>
      </c>
    </row>
    <row r="69" spans="2:3" x14ac:dyDescent="0.3">
      <c r="B69" s="327">
        <v>20</v>
      </c>
      <c r="C69" t="s">
        <v>808</v>
      </c>
    </row>
    <row r="70" spans="2:3" x14ac:dyDescent="0.3">
      <c r="B70" s="327">
        <v>20</v>
      </c>
      <c r="C70" t="s">
        <v>809</v>
      </c>
    </row>
    <row r="71" spans="2:3" x14ac:dyDescent="0.3">
      <c r="B71" s="327">
        <v>20</v>
      </c>
      <c r="C71" t="s">
        <v>810</v>
      </c>
    </row>
    <row r="72" spans="2:3" x14ac:dyDescent="0.3">
      <c r="B72" s="326">
        <v>50</v>
      </c>
      <c r="C72" t="s">
        <v>811</v>
      </c>
    </row>
    <row r="79" spans="2:3" x14ac:dyDescent="0.3">
      <c r="B79" s="236" t="s">
        <v>812</v>
      </c>
    </row>
    <row r="80" spans="2:3" x14ac:dyDescent="0.3">
      <c r="B80" t="s">
        <v>813</v>
      </c>
    </row>
    <row r="81" spans="2:2" x14ac:dyDescent="0.3">
      <c r="B81" t="s">
        <v>814</v>
      </c>
    </row>
    <row r="82" spans="2:2" x14ac:dyDescent="0.3">
      <c r="B82" t="s">
        <v>815</v>
      </c>
    </row>
    <row r="86" spans="2:2" x14ac:dyDescent="0.3">
      <c r="B86" s="236" t="s">
        <v>297</v>
      </c>
    </row>
    <row r="87" spans="2:2" x14ac:dyDescent="0.3">
      <c r="B87" t="s">
        <v>102</v>
      </c>
    </row>
    <row r="88" spans="2:2" x14ac:dyDescent="0.3">
      <c r="B88" t="s">
        <v>429</v>
      </c>
    </row>
    <row r="99" spans="1:12" x14ac:dyDescent="0.3">
      <c r="A99" s="383"/>
      <c r="B99" s="383"/>
      <c r="C99" s="383"/>
      <c r="D99" s="383"/>
      <c r="E99" s="383"/>
      <c r="F99" s="383"/>
      <c r="G99" s="383"/>
      <c r="H99" s="383"/>
      <c r="I99" s="383"/>
      <c r="J99" s="383"/>
      <c r="K99" s="383"/>
      <c r="L99" s="383"/>
    </row>
    <row r="100" spans="1:12" x14ac:dyDescent="0.3">
      <c r="B100" s="236" t="s">
        <v>779</v>
      </c>
    </row>
    <row r="101" spans="1:12" x14ac:dyDescent="0.3">
      <c r="C101" t="s">
        <v>3</v>
      </c>
      <c r="D101" t="s">
        <v>4</v>
      </c>
      <c r="E101" t="s">
        <v>266</v>
      </c>
      <c r="F101" t="s">
        <v>6</v>
      </c>
    </row>
    <row r="102" spans="1:12" x14ac:dyDescent="0.3">
      <c r="A102" s="504" t="s">
        <v>816</v>
      </c>
      <c r="B102" t="s">
        <v>59</v>
      </c>
      <c r="C102" s="98">
        <f>SUM('NOC Services (ExhibitB)'!M161:M162)</f>
        <v>0</v>
      </c>
      <c r="D102" s="98">
        <f>SUM('NOC Services (ExhibitB)'!N161:N162)</f>
        <v>0</v>
      </c>
      <c r="E102" s="98">
        <f>SUM('NOC Services (ExhibitB)'!O161:O162)</f>
        <v>0</v>
      </c>
      <c r="F102" s="98">
        <f>SUM('NOC Services (ExhibitB)'!P161:P162)</f>
        <v>0</v>
      </c>
    </row>
    <row r="103" spans="1:12" x14ac:dyDescent="0.3">
      <c r="A103" s="504"/>
      <c r="B103" t="s">
        <v>271</v>
      </c>
      <c r="C103" s="98">
        <f>SUM('NOC+Service Desk (ExhibitB)'!M295:M296)</f>
        <v>0</v>
      </c>
      <c r="D103" s="98">
        <f>SUM('NOC+Service Desk (ExhibitB)'!N295:N296)</f>
        <v>0</v>
      </c>
      <c r="E103" s="98">
        <f>SUM('NOC+Service Desk (ExhibitB)'!O295:O296)</f>
        <v>0</v>
      </c>
      <c r="F103" s="98">
        <f>SUM('NOC+Service Desk (ExhibitB)'!P295:P296)</f>
        <v>0</v>
      </c>
    </row>
    <row r="104" spans="1:12" x14ac:dyDescent="0.3">
      <c r="A104" s="504"/>
      <c r="B104" t="s">
        <v>471</v>
      </c>
      <c r="C104" s="98">
        <f>'Additional Offerings (ExhibitB)'!M149</f>
        <v>0</v>
      </c>
      <c r="D104" s="98">
        <f>'Additional Offerings (ExhibitB)'!N149</f>
        <v>0</v>
      </c>
      <c r="E104" s="98">
        <f>'Additional Offerings (ExhibitB)'!O149</f>
        <v>0</v>
      </c>
      <c r="F104" s="98">
        <f>'Additional Offerings (ExhibitB)'!P149</f>
        <v>0</v>
      </c>
    </row>
    <row r="106" spans="1:12" x14ac:dyDescent="0.3">
      <c r="C106" t="s">
        <v>3</v>
      </c>
      <c r="D106" t="s">
        <v>4</v>
      </c>
      <c r="E106" t="s">
        <v>266</v>
      </c>
      <c r="F106" t="s">
        <v>6</v>
      </c>
    </row>
    <row r="107" spans="1:12" x14ac:dyDescent="0.3">
      <c r="A107" s="504" t="s">
        <v>58</v>
      </c>
      <c r="B107" t="s">
        <v>59</v>
      </c>
      <c r="C107" s="98">
        <f>SUM('NOC Services (ExhibitB)'!M163:M164)</f>
        <v>0</v>
      </c>
      <c r="D107" s="98">
        <f>SUM('NOC Services (ExhibitB)'!N163:N164)</f>
        <v>0</v>
      </c>
      <c r="E107" s="98">
        <f>SUM('NOC Services (ExhibitB)'!O163:O164)</f>
        <v>0</v>
      </c>
      <c r="F107" s="98">
        <f>SUM('NOC Services (ExhibitB)'!P163:P164)</f>
        <v>0</v>
      </c>
    </row>
    <row r="108" spans="1:12" x14ac:dyDescent="0.3">
      <c r="A108" s="504"/>
      <c r="B108" t="s">
        <v>271</v>
      </c>
      <c r="C108" s="98">
        <f>SUM('NOC+Service Desk (ExhibitB)'!M297:M300)</f>
        <v>0</v>
      </c>
      <c r="D108" s="98">
        <f>SUM('NOC+Service Desk (ExhibitB)'!N297:N300)</f>
        <v>0</v>
      </c>
      <c r="E108" s="98">
        <f>SUM('NOC+Service Desk (ExhibitB)'!O297:O300)</f>
        <v>0</v>
      </c>
      <c r="F108" s="98">
        <f>SUM('NOC+Service Desk (ExhibitB)'!P297:P300)</f>
        <v>0</v>
      </c>
    </row>
    <row r="109" spans="1:12" x14ac:dyDescent="0.3">
      <c r="A109" s="504"/>
      <c r="B109" t="s">
        <v>471</v>
      </c>
      <c r="C109" s="98">
        <f>SUM('Additional Offerings (ExhibitB)'!M150:M151)</f>
        <v>0</v>
      </c>
      <c r="D109" s="98">
        <f>SUM('Additional Offerings (ExhibitB)'!N150:N151)</f>
        <v>0</v>
      </c>
      <c r="E109" s="98">
        <f>SUM('Additional Offerings (ExhibitB)'!O150:O151)</f>
        <v>0</v>
      </c>
      <c r="F109" s="98">
        <f>SUM('Additional Offerings (ExhibitB)'!P150:P151)</f>
        <v>0</v>
      </c>
    </row>
    <row r="111" spans="1:12" x14ac:dyDescent="0.3">
      <c r="C111" t="s">
        <v>3</v>
      </c>
      <c r="D111" t="s">
        <v>4</v>
      </c>
      <c r="E111" t="s">
        <v>266</v>
      </c>
      <c r="F111" t="s">
        <v>6</v>
      </c>
    </row>
    <row r="112" spans="1:12" x14ac:dyDescent="0.3">
      <c r="A112" s="504" t="s">
        <v>60</v>
      </c>
      <c r="B112" t="s">
        <v>59</v>
      </c>
      <c r="C112" s="98">
        <f>SUM('NOC Services (ExhibitB)'!M165:M166)</f>
        <v>0</v>
      </c>
      <c r="D112" s="98">
        <f>SUM('NOC Services (ExhibitB)'!N165:N166)</f>
        <v>0</v>
      </c>
      <c r="E112" s="98">
        <f>SUM('NOC Services (ExhibitB)'!O165:O166)</f>
        <v>0</v>
      </c>
      <c r="F112" s="98">
        <f>SUM('NOC Services (ExhibitB)'!P165:P166)</f>
        <v>0</v>
      </c>
    </row>
    <row r="113" spans="1:6" x14ac:dyDescent="0.3">
      <c r="A113" s="504"/>
      <c r="B113" t="s">
        <v>271</v>
      </c>
      <c r="C113" s="98">
        <f>SUM('NOC+Service Desk (ExhibitB)'!M301:M303)</f>
        <v>0</v>
      </c>
      <c r="D113" s="98">
        <f>SUM('NOC+Service Desk (ExhibitB)'!N301:N303)</f>
        <v>0</v>
      </c>
      <c r="E113" s="98">
        <f>SUM('NOC+Service Desk (ExhibitB)'!O301:O303)</f>
        <v>0</v>
      </c>
      <c r="F113" s="98">
        <f>SUM('NOC+Service Desk (ExhibitB)'!P301:P303)</f>
        <v>0</v>
      </c>
    </row>
    <row r="114" spans="1:6" x14ac:dyDescent="0.3">
      <c r="A114" s="504"/>
      <c r="B114" t="s">
        <v>471</v>
      </c>
      <c r="C114" s="98">
        <f>SUM('Additional Offerings (ExhibitB)'!M152:M154)</f>
        <v>0</v>
      </c>
      <c r="D114" s="98">
        <f>SUM('Additional Offerings (ExhibitB)'!N152:N154)</f>
        <v>0</v>
      </c>
      <c r="E114" s="98">
        <f>SUM('Additional Offerings (ExhibitB)'!O152:O154)</f>
        <v>0</v>
      </c>
      <c r="F114" s="98">
        <f>SUM('Additional Offerings (ExhibitB)'!P152:P154)</f>
        <v>0</v>
      </c>
    </row>
    <row r="116" spans="1:6" x14ac:dyDescent="0.3">
      <c r="C116" t="s">
        <v>3</v>
      </c>
      <c r="D116" t="s">
        <v>4</v>
      </c>
      <c r="E116" t="s">
        <v>266</v>
      </c>
      <c r="F116" t="s">
        <v>6</v>
      </c>
    </row>
    <row r="117" spans="1:6" x14ac:dyDescent="0.3">
      <c r="A117" s="504" t="s">
        <v>272</v>
      </c>
      <c r="B117" t="s">
        <v>59</v>
      </c>
      <c r="C117" s="385">
        <v>0</v>
      </c>
      <c r="D117" s="385">
        <v>0</v>
      </c>
      <c r="E117" s="385">
        <v>0</v>
      </c>
      <c r="F117" s="385">
        <v>0</v>
      </c>
    </row>
    <row r="118" spans="1:6" x14ac:dyDescent="0.3">
      <c r="A118" s="504"/>
      <c r="B118" t="s">
        <v>271</v>
      </c>
      <c r="C118" s="98">
        <f>SUM('NOC+Service Desk (ExhibitB)'!M304:M305)</f>
        <v>0</v>
      </c>
      <c r="D118" s="98">
        <f>SUM('NOC+Service Desk (ExhibitB)'!N304:N305)</f>
        <v>0</v>
      </c>
      <c r="E118" s="98">
        <f>SUM('NOC+Service Desk (ExhibitB)'!O304:O305)</f>
        <v>0</v>
      </c>
      <c r="F118" s="98">
        <f>SUM('NOC+Service Desk (ExhibitB)'!P304:P305)</f>
        <v>0</v>
      </c>
    </row>
    <row r="119" spans="1:6" x14ac:dyDescent="0.3">
      <c r="A119" s="504"/>
      <c r="B119" t="s">
        <v>471</v>
      </c>
      <c r="C119" s="385">
        <v>0</v>
      </c>
      <c r="D119" s="385">
        <v>0</v>
      </c>
      <c r="E119" s="385">
        <v>0</v>
      </c>
      <c r="F119" s="385">
        <v>0</v>
      </c>
    </row>
    <row r="121" spans="1:6" x14ac:dyDescent="0.3">
      <c r="C121" t="s">
        <v>3</v>
      </c>
      <c r="D121" t="s">
        <v>4</v>
      </c>
      <c r="E121" t="s">
        <v>266</v>
      </c>
      <c r="F121" t="s">
        <v>6</v>
      </c>
    </row>
    <row r="122" spans="1:6" x14ac:dyDescent="0.3">
      <c r="A122" s="503" t="s">
        <v>62</v>
      </c>
      <c r="B122" t="s">
        <v>59</v>
      </c>
      <c r="C122" s="98">
        <f>SUM('NOC Services (ExhibitB)'!M167:M169)</f>
        <v>0</v>
      </c>
      <c r="D122" s="98">
        <f>SUM('NOC Services (ExhibitB)'!N167:N169)</f>
        <v>0</v>
      </c>
      <c r="E122" s="98">
        <f>SUM('NOC Services (ExhibitB)'!O167:O169)</f>
        <v>0</v>
      </c>
      <c r="F122" s="98">
        <f>SUM('NOC Services (ExhibitB)'!P167:P169)</f>
        <v>0</v>
      </c>
    </row>
    <row r="123" spans="1:6" x14ac:dyDescent="0.3">
      <c r="A123" s="503"/>
      <c r="B123" t="s">
        <v>271</v>
      </c>
      <c r="C123" s="98">
        <f>SUM('NOC+Service Desk (ExhibitB)'!M306:M313)</f>
        <v>0</v>
      </c>
      <c r="D123" s="98">
        <f>SUM('NOC+Service Desk (ExhibitB)'!N306:N313)</f>
        <v>0</v>
      </c>
      <c r="E123" s="98">
        <f>SUM('NOC+Service Desk (ExhibitB)'!O306:O313)</f>
        <v>0</v>
      </c>
      <c r="F123" s="98">
        <f>SUM('NOC+Service Desk (ExhibitB)'!P306:P313)</f>
        <v>0</v>
      </c>
    </row>
    <row r="124" spans="1:6" x14ac:dyDescent="0.3">
      <c r="A124" s="503"/>
      <c r="B124" t="s">
        <v>471</v>
      </c>
      <c r="C124" s="98">
        <f>'Additional Offerings (ExhibitB)'!M155</f>
        <v>0</v>
      </c>
      <c r="D124" s="98">
        <f>'Additional Offerings (ExhibitB)'!N155</f>
        <v>0</v>
      </c>
      <c r="E124" s="98">
        <f>'Additional Offerings (ExhibitB)'!O155</f>
        <v>0</v>
      </c>
      <c r="F124" s="98">
        <f>'Additional Offerings (ExhibitB)'!P155</f>
        <v>0</v>
      </c>
    </row>
  </sheetData>
  <mergeCells count="5">
    <mergeCell ref="A122:A124"/>
    <mergeCell ref="A102:A104"/>
    <mergeCell ref="A107:A109"/>
    <mergeCell ref="A112:A114"/>
    <mergeCell ref="A117:A119"/>
  </mergeCells>
  <pageMargins left="0.7" right="0.7" top="0.75" bottom="0.75" header="0.3" footer="0.3"/>
  <pageSetup orientation="portrait"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C3CCE8-BC2C-4314-87AA-8C6B3036C511}">
  <sheetPr>
    <tabColor rgb="FFFF0000"/>
  </sheetPr>
  <dimension ref="A1:H27"/>
  <sheetViews>
    <sheetView workbookViewId="0">
      <selection activeCell="H26" sqref="H26"/>
    </sheetView>
  </sheetViews>
  <sheetFormatPr defaultRowHeight="14.4" x14ac:dyDescent="0.3"/>
  <cols>
    <col min="2" max="2" width="80.44140625" bestFit="1" customWidth="1"/>
    <col min="3" max="3" width="22.5546875" bestFit="1" customWidth="1"/>
    <col min="4" max="4" width="10.5546875" style="264" bestFit="1" customWidth="1"/>
    <col min="6" max="6" width="12" style="264" bestFit="1" customWidth="1"/>
    <col min="8" max="8" width="10.5546875" style="264" bestFit="1" customWidth="1"/>
  </cols>
  <sheetData>
    <row r="1" spans="1:8" x14ac:dyDescent="0.3">
      <c r="A1" s="271" t="s">
        <v>817</v>
      </c>
      <c r="B1" s="270"/>
      <c r="C1" s="270"/>
      <c r="D1" s="269"/>
      <c r="E1" s="270"/>
      <c r="F1" s="269"/>
      <c r="G1" s="270"/>
      <c r="H1" s="269"/>
    </row>
    <row r="2" spans="1:8" x14ac:dyDescent="0.3">
      <c r="A2" s="268" t="s">
        <v>818</v>
      </c>
      <c r="B2" s="268" t="s">
        <v>819</v>
      </c>
      <c r="C2" s="267" t="s">
        <v>805</v>
      </c>
      <c r="D2" s="266" t="s">
        <v>785</v>
      </c>
      <c r="E2" s="505" t="s">
        <v>820</v>
      </c>
      <c r="F2" s="506"/>
      <c r="G2" s="507" t="s">
        <v>821</v>
      </c>
      <c r="H2" s="506"/>
    </row>
    <row r="3" spans="1:8" x14ac:dyDescent="0.3">
      <c r="A3" t="s">
        <v>822</v>
      </c>
      <c r="B3" t="s">
        <v>823</v>
      </c>
      <c r="C3" s="29" t="s">
        <v>99</v>
      </c>
      <c r="D3" s="265">
        <v>799</v>
      </c>
      <c r="E3" s="275">
        <v>0.4</v>
      </c>
      <c r="F3" s="265">
        <f>$D3*(1-E3)</f>
        <v>479.4</v>
      </c>
      <c r="G3" s="276">
        <v>1</v>
      </c>
      <c r="H3" s="265">
        <f>$D3*(1-G3)</f>
        <v>0</v>
      </c>
    </row>
    <row r="4" spans="1:8" x14ac:dyDescent="0.3">
      <c r="A4" t="s">
        <v>824</v>
      </c>
      <c r="B4" t="s">
        <v>823</v>
      </c>
      <c r="C4" s="29" t="s">
        <v>100</v>
      </c>
      <c r="D4" s="265">
        <v>799</v>
      </c>
      <c r="E4" s="275">
        <v>0.4</v>
      </c>
      <c r="F4" s="265">
        <f>$D4*(1-E4)</f>
        <v>479.4</v>
      </c>
      <c r="G4" s="276">
        <v>1</v>
      </c>
      <c r="H4" s="265">
        <f>$D4*(1-G4)</f>
        <v>0</v>
      </c>
    </row>
    <row r="5" spans="1:8" x14ac:dyDescent="0.3">
      <c r="A5" t="s">
        <v>825</v>
      </c>
      <c r="B5" t="s">
        <v>823</v>
      </c>
      <c r="C5" s="29" t="s">
        <v>101</v>
      </c>
      <c r="D5" s="265">
        <v>799</v>
      </c>
      <c r="E5" s="275">
        <v>0.4</v>
      </c>
      <c r="F5" s="265">
        <f>$D5*(1-E5)</f>
        <v>479.4</v>
      </c>
      <c r="G5" s="276">
        <v>1</v>
      </c>
      <c r="H5" s="265">
        <f>$D5*(1-G5)</f>
        <v>0</v>
      </c>
    </row>
    <row r="8" spans="1:8" x14ac:dyDescent="0.3">
      <c r="A8" s="271" t="s">
        <v>826</v>
      </c>
      <c r="B8" s="270"/>
      <c r="C8" s="270"/>
      <c r="D8" s="269"/>
      <c r="E8" s="270"/>
      <c r="F8" s="269"/>
      <c r="G8" s="270"/>
      <c r="H8" s="269"/>
    </row>
    <row r="9" spans="1:8" x14ac:dyDescent="0.3">
      <c r="A9" s="268" t="s">
        <v>818</v>
      </c>
      <c r="B9" s="268" t="s">
        <v>819</v>
      </c>
      <c r="C9" s="267" t="s">
        <v>805</v>
      </c>
      <c r="D9" s="266" t="s">
        <v>387</v>
      </c>
      <c r="E9" s="505" t="s">
        <v>827</v>
      </c>
      <c r="F9" s="506"/>
      <c r="G9" s="507" t="s">
        <v>828</v>
      </c>
      <c r="H9" s="506"/>
    </row>
    <row r="10" spans="1:8" x14ac:dyDescent="0.3">
      <c r="A10" t="s">
        <v>829</v>
      </c>
      <c r="B10" t="s">
        <v>110</v>
      </c>
      <c r="C10" s="29" t="s">
        <v>99</v>
      </c>
      <c r="D10" s="265">
        <v>2199</v>
      </c>
      <c r="E10" s="275">
        <v>0.4</v>
      </c>
      <c r="F10" s="265">
        <f t="shared" ref="F10:F15" si="0">$D10*(1-E10)</f>
        <v>1319.3999999999999</v>
      </c>
      <c r="G10" s="276">
        <v>1</v>
      </c>
      <c r="H10" s="265">
        <f t="shared" ref="H10:H15" si="1">$D10*(1-G10)</f>
        <v>0</v>
      </c>
    </row>
    <row r="11" spans="1:8" x14ac:dyDescent="0.3">
      <c r="A11" t="s">
        <v>830</v>
      </c>
      <c r="B11" t="s">
        <v>110</v>
      </c>
      <c r="C11" s="29" t="s">
        <v>100</v>
      </c>
      <c r="D11" s="265">
        <v>2199</v>
      </c>
      <c r="E11" s="275">
        <v>0.4</v>
      </c>
      <c r="F11" s="265">
        <f t="shared" si="0"/>
        <v>1319.3999999999999</v>
      </c>
      <c r="G11" s="276">
        <v>1</v>
      </c>
      <c r="H11" s="265">
        <f t="shared" si="1"/>
        <v>0</v>
      </c>
    </row>
    <row r="12" spans="1:8" x14ac:dyDescent="0.3">
      <c r="A12" t="s">
        <v>831</v>
      </c>
      <c r="B12" t="s">
        <v>110</v>
      </c>
      <c r="C12" s="29" t="s">
        <v>101</v>
      </c>
      <c r="D12" s="265">
        <v>2199</v>
      </c>
      <c r="E12" s="275">
        <v>0.4</v>
      </c>
      <c r="F12" s="265">
        <f t="shared" si="0"/>
        <v>1319.3999999999999</v>
      </c>
      <c r="G12" s="276">
        <v>1</v>
      </c>
      <c r="H12" s="265">
        <f t="shared" si="1"/>
        <v>0</v>
      </c>
    </row>
    <row r="13" spans="1:8" x14ac:dyDescent="0.3">
      <c r="A13" t="s">
        <v>832</v>
      </c>
      <c r="B13" t="s">
        <v>111</v>
      </c>
      <c r="C13" s="29" t="s">
        <v>99</v>
      </c>
      <c r="D13" s="265">
        <v>2199</v>
      </c>
      <c r="E13" s="275">
        <v>0.4</v>
      </c>
      <c r="F13" s="265">
        <f t="shared" si="0"/>
        <v>1319.3999999999999</v>
      </c>
      <c r="G13" s="276">
        <v>1</v>
      </c>
      <c r="H13" s="265">
        <f t="shared" si="1"/>
        <v>0</v>
      </c>
    </row>
    <row r="14" spans="1:8" x14ac:dyDescent="0.3">
      <c r="A14" t="s">
        <v>833</v>
      </c>
      <c r="B14" t="s">
        <v>111</v>
      </c>
      <c r="C14" s="29" t="s">
        <v>100</v>
      </c>
      <c r="D14" s="265">
        <v>2199</v>
      </c>
      <c r="E14" s="275">
        <v>0.4</v>
      </c>
      <c r="F14" s="265">
        <f t="shared" si="0"/>
        <v>1319.3999999999999</v>
      </c>
      <c r="G14" s="276">
        <v>1</v>
      </c>
      <c r="H14" s="265">
        <f t="shared" si="1"/>
        <v>0</v>
      </c>
    </row>
    <row r="15" spans="1:8" x14ac:dyDescent="0.3">
      <c r="A15" t="s">
        <v>834</v>
      </c>
      <c r="B15" t="s">
        <v>111</v>
      </c>
      <c r="C15" s="29" t="s">
        <v>101</v>
      </c>
      <c r="D15" s="265">
        <v>2199</v>
      </c>
      <c r="E15" s="275">
        <v>0.4</v>
      </c>
      <c r="F15" s="265">
        <f t="shared" si="0"/>
        <v>1319.3999999999999</v>
      </c>
      <c r="G15" s="276">
        <v>1</v>
      </c>
      <c r="H15" s="265">
        <f t="shared" si="1"/>
        <v>0</v>
      </c>
    </row>
    <row r="16" spans="1:8" x14ac:dyDescent="0.3">
      <c r="A16" t="s">
        <v>835</v>
      </c>
      <c r="B16" t="s">
        <v>112</v>
      </c>
      <c r="C16" s="29" t="s">
        <v>99</v>
      </c>
      <c r="D16" s="265">
        <v>2199</v>
      </c>
      <c r="E16" s="275">
        <v>0.4</v>
      </c>
      <c r="F16" s="265">
        <f t="shared" ref="F16:F23" si="2">$D16*(1-E16)</f>
        <v>1319.3999999999999</v>
      </c>
      <c r="G16" s="276">
        <v>1</v>
      </c>
      <c r="H16" s="265">
        <f t="shared" ref="H16:H23" si="3">$D16*(1-G16)</f>
        <v>0</v>
      </c>
    </row>
    <row r="17" spans="1:8" x14ac:dyDescent="0.3">
      <c r="A17" t="s">
        <v>836</v>
      </c>
      <c r="B17" t="s">
        <v>112</v>
      </c>
      <c r="C17" s="29" t="s">
        <v>100</v>
      </c>
      <c r="D17" s="265">
        <v>2199</v>
      </c>
      <c r="E17" s="275">
        <v>0.4</v>
      </c>
      <c r="F17" s="265">
        <f t="shared" si="2"/>
        <v>1319.3999999999999</v>
      </c>
      <c r="G17" s="276">
        <v>1</v>
      </c>
      <c r="H17" s="265">
        <f t="shared" si="3"/>
        <v>0</v>
      </c>
    </row>
    <row r="18" spans="1:8" x14ac:dyDescent="0.3">
      <c r="A18" t="s">
        <v>837</v>
      </c>
      <c r="B18" t="s">
        <v>112</v>
      </c>
      <c r="C18" s="29" t="s">
        <v>101</v>
      </c>
      <c r="D18" s="265">
        <v>2199</v>
      </c>
      <c r="E18" s="275">
        <v>0.4</v>
      </c>
      <c r="F18" s="265">
        <f t="shared" si="2"/>
        <v>1319.3999999999999</v>
      </c>
      <c r="G18" s="276">
        <v>1</v>
      </c>
      <c r="H18" s="265">
        <f t="shared" si="3"/>
        <v>0</v>
      </c>
    </row>
    <row r="19" spans="1:8" x14ac:dyDescent="0.3">
      <c r="A19" t="s">
        <v>838</v>
      </c>
      <c r="B19" t="s">
        <v>113</v>
      </c>
      <c r="C19" s="29" t="s">
        <v>99</v>
      </c>
      <c r="D19" s="265">
        <v>2845</v>
      </c>
      <c r="E19" s="275">
        <v>0.4</v>
      </c>
      <c r="F19" s="265">
        <f t="shared" si="2"/>
        <v>1707</v>
      </c>
      <c r="G19" s="276">
        <v>1</v>
      </c>
      <c r="H19" s="265">
        <f t="shared" si="3"/>
        <v>0</v>
      </c>
    </row>
    <row r="20" spans="1:8" x14ac:dyDescent="0.3">
      <c r="A20" t="s">
        <v>839</v>
      </c>
      <c r="B20" t="s">
        <v>113</v>
      </c>
      <c r="C20" s="29" t="s">
        <v>100</v>
      </c>
      <c r="D20" s="265">
        <v>2845</v>
      </c>
      <c r="E20" s="275">
        <v>0.4</v>
      </c>
      <c r="F20" s="265">
        <f t="shared" si="2"/>
        <v>1707</v>
      </c>
      <c r="G20" s="276">
        <v>1</v>
      </c>
      <c r="H20" s="265">
        <f t="shared" si="3"/>
        <v>0</v>
      </c>
    </row>
    <row r="21" spans="1:8" x14ac:dyDescent="0.3">
      <c r="A21" t="s">
        <v>840</v>
      </c>
      <c r="B21" t="s">
        <v>113</v>
      </c>
      <c r="C21" s="29" t="s">
        <v>101</v>
      </c>
      <c r="D21" s="265">
        <v>2845</v>
      </c>
      <c r="E21" s="275">
        <v>0.4</v>
      </c>
      <c r="F21" s="265">
        <f t="shared" si="2"/>
        <v>1707</v>
      </c>
      <c r="G21" s="276">
        <v>1</v>
      </c>
      <c r="H21" s="265">
        <f t="shared" si="3"/>
        <v>0</v>
      </c>
    </row>
    <row r="22" spans="1:8" x14ac:dyDescent="0.3">
      <c r="A22" t="s">
        <v>841</v>
      </c>
      <c r="B22" t="s">
        <v>114</v>
      </c>
      <c r="C22" s="29" t="s">
        <v>99</v>
      </c>
      <c r="D22" s="265">
        <v>2845</v>
      </c>
      <c r="E22" s="275">
        <v>0.4</v>
      </c>
      <c r="F22" s="265">
        <f t="shared" si="2"/>
        <v>1707</v>
      </c>
      <c r="G22" s="276">
        <v>1</v>
      </c>
      <c r="H22" s="265">
        <f t="shared" si="3"/>
        <v>0</v>
      </c>
    </row>
    <row r="23" spans="1:8" x14ac:dyDescent="0.3">
      <c r="A23" t="s">
        <v>842</v>
      </c>
      <c r="B23" t="s">
        <v>114</v>
      </c>
      <c r="C23" s="29" t="s">
        <v>100</v>
      </c>
      <c r="D23" s="265">
        <v>2845</v>
      </c>
      <c r="E23" s="275">
        <v>0.4</v>
      </c>
      <c r="F23" s="265">
        <f t="shared" si="2"/>
        <v>1707</v>
      </c>
      <c r="G23" s="276">
        <v>1</v>
      </c>
      <c r="H23" s="265">
        <f t="shared" si="3"/>
        <v>0</v>
      </c>
    </row>
    <row r="24" spans="1:8" x14ac:dyDescent="0.3">
      <c r="A24" t="s">
        <v>843</v>
      </c>
      <c r="B24" t="s">
        <v>114</v>
      </c>
      <c r="C24" s="29" t="s">
        <v>101</v>
      </c>
      <c r="D24" s="265">
        <v>2845</v>
      </c>
      <c r="E24" s="275">
        <v>0.4</v>
      </c>
      <c r="F24" s="265">
        <f t="shared" ref="F24:F27" si="4">$D24*(1-E24)</f>
        <v>1707</v>
      </c>
      <c r="G24" s="276">
        <v>1</v>
      </c>
      <c r="H24" s="265">
        <f t="shared" ref="H24:H27" si="5">$D24*(1-G24)</f>
        <v>0</v>
      </c>
    </row>
    <row r="25" spans="1:8" x14ac:dyDescent="0.3">
      <c r="A25" t="s">
        <v>844</v>
      </c>
      <c r="B25" t="s">
        <v>845</v>
      </c>
      <c r="C25" s="29" t="s">
        <v>99</v>
      </c>
      <c r="D25" s="265">
        <v>5925</v>
      </c>
      <c r="E25" s="275">
        <v>0.4</v>
      </c>
      <c r="F25" s="265">
        <f t="shared" si="4"/>
        <v>3555</v>
      </c>
      <c r="G25" s="276">
        <v>1</v>
      </c>
      <c r="H25" s="265">
        <f t="shared" si="5"/>
        <v>0</v>
      </c>
    </row>
    <row r="26" spans="1:8" x14ac:dyDescent="0.3">
      <c r="A26" t="s">
        <v>846</v>
      </c>
      <c r="B26" t="s">
        <v>845</v>
      </c>
      <c r="C26" s="29" t="s">
        <v>100</v>
      </c>
      <c r="D26" s="265">
        <v>5925</v>
      </c>
      <c r="E26" s="275">
        <v>0.4</v>
      </c>
      <c r="F26" s="265">
        <f t="shared" si="4"/>
        <v>3555</v>
      </c>
      <c r="G26" s="276">
        <v>1</v>
      </c>
      <c r="H26" s="265">
        <f t="shared" si="5"/>
        <v>0</v>
      </c>
    </row>
    <row r="27" spans="1:8" x14ac:dyDescent="0.3">
      <c r="A27" t="s">
        <v>847</v>
      </c>
      <c r="B27" t="s">
        <v>845</v>
      </c>
      <c r="C27" s="29" t="s">
        <v>101</v>
      </c>
      <c r="D27" s="265">
        <v>5925</v>
      </c>
      <c r="E27" s="275">
        <v>0.4</v>
      </c>
      <c r="F27" s="265">
        <f t="shared" si="4"/>
        <v>3555</v>
      </c>
      <c r="G27" s="276">
        <v>1</v>
      </c>
      <c r="H27" s="265">
        <f t="shared" si="5"/>
        <v>0</v>
      </c>
    </row>
  </sheetData>
  <mergeCells count="4">
    <mergeCell ref="E2:F2"/>
    <mergeCell ref="G2:H2"/>
    <mergeCell ref="E9:F9"/>
    <mergeCell ref="G9:H9"/>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3c555a0d-345d-4dc7-acfe-e434713c8532" xsi:nil="true"/>
    <lcf76f155ced4ddcb4097134ff3c332f xmlns="a51408a5-6fc3-4472-a12c-e5585d39f6af">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1CEA1664A78194ABA0EEB479265B64B" ma:contentTypeVersion="14" ma:contentTypeDescription="Create a new document." ma:contentTypeScope="" ma:versionID="5a95be01e887b3f1e60943893aacbf1d">
  <xsd:schema xmlns:xsd="http://www.w3.org/2001/XMLSchema" xmlns:xs="http://www.w3.org/2001/XMLSchema" xmlns:p="http://schemas.microsoft.com/office/2006/metadata/properties" xmlns:ns2="a51408a5-6fc3-4472-a12c-e5585d39f6af" xmlns:ns3="3c555a0d-345d-4dc7-acfe-e434713c8532" targetNamespace="http://schemas.microsoft.com/office/2006/metadata/properties" ma:root="true" ma:fieldsID="1970599bc43f06c8d45f637afec0da72" ns2:_="" ns3:_="">
    <xsd:import namespace="a51408a5-6fc3-4472-a12c-e5585d39f6af"/>
    <xsd:import namespace="3c555a0d-345d-4dc7-acfe-e434713c853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51408a5-6fc3-4472-a12c-e5585d39f6a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8f04277a-d912-4e48-9a25-c1e8b6a0b5e1"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c555a0d-345d-4dc7-acfe-e434713c8532"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ccf71106-1a96-42ce-988b-d88bb7fe2946}" ma:internalName="TaxCatchAll" ma:showField="CatchAllData" ma:web="3c555a0d-345d-4dc7-acfe-e434713c8532">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24322E3-B63B-4DF3-9208-1FC9BEB0BF26}">
  <ds:schemaRefs>
    <ds:schemaRef ds:uri="http://schemas.microsoft.com/sharepoint/v3/contenttype/forms"/>
  </ds:schemaRefs>
</ds:datastoreItem>
</file>

<file path=customXml/itemProps2.xml><?xml version="1.0" encoding="utf-8"?>
<ds:datastoreItem xmlns:ds="http://schemas.openxmlformats.org/officeDocument/2006/customXml" ds:itemID="{A7D24472-D34B-4CDE-827D-B13CB94ED51F}">
  <ds:schemaRefs>
    <ds:schemaRef ds:uri="http://schemas.microsoft.com/office/2006/metadata/properties"/>
    <ds:schemaRef ds:uri="http://schemas.microsoft.com/office/infopath/2007/PartnerControls"/>
    <ds:schemaRef ds:uri="3c555a0d-345d-4dc7-acfe-e434713c8532"/>
    <ds:schemaRef ds:uri="a51408a5-6fc3-4472-a12c-e5585d39f6af"/>
  </ds:schemaRefs>
</ds:datastoreItem>
</file>

<file path=customXml/itemProps3.xml><?xml version="1.0" encoding="utf-8"?>
<ds:datastoreItem xmlns:ds="http://schemas.openxmlformats.org/officeDocument/2006/customXml" ds:itemID="{78C32BDF-AD62-49B4-A7E3-584159F49BA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51408a5-6fc3-4472-a12c-e5585d39f6af"/>
    <ds:schemaRef ds:uri="3c555a0d-345d-4dc7-acfe-e434713c853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8</vt:i4>
      </vt:variant>
    </vt:vector>
  </HeadingPairs>
  <TitlesOfParts>
    <vt:vector size="17" baseType="lpstr">
      <vt:lpstr>MSRP Retail Calculator</vt:lpstr>
      <vt:lpstr>MSRP Retail Calculator_OLD</vt:lpstr>
      <vt:lpstr>NOC Services (ExhibitB)</vt:lpstr>
      <vt:lpstr>NOC+Service Desk (ExhibitB)</vt:lpstr>
      <vt:lpstr>Additional Offerings (ExhibitB)</vt:lpstr>
      <vt:lpstr>Service Provider Input Page</vt:lpstr>
      <vt:lpstr>Change History</vt:lpstr>
      <vt:lpstr>Lookups</vt:lpstr>
      <vt:lpstr>Datto Promos</vt:lpstr>
      <vt:lpstr>'Additional Offerings (ExhibitB)'!Print_Area</vt:lpstr>
      <vt:lpstr>'MSRP Retail Calculator'!Print_Area</vt:lpstr>
      <vt:lpstr>'MSRP Retail Calculator_OLD'!Print_Area</vt:lpstr>
      <vt:lpstr>'NOC Services (ExhibitB)'!Print_Area</vt:lpstr>
      <vt:lpstr>'NOC+Service Desk (ExhibitB)'!Print_Area</vt:lpstr>
      <vt:lpstr>'Additional Offerings (ExhibitB)'!Print_Titles</vt:lpstr>
      <vt:lpstr>'NOC Services (ExhibitB)'!Print_Titles</vt:lpstr>
      <vt:lpstr>'NOC+Service Desk (ExhibitB)'!Print_Titles</vt:lpstr>
    </vt:vector>
  </TitlesOfParts>
  <Manager/>
  <Company>GreatAmerica Financial Services Corp.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ckerns</dc:creator>
  <cp:keywords/>
  <dc:description/>
  <cp:lastModifiedBy>Melissa Rogers</cp:lastModifiedBy>
  <cp:revision/>
  <dcterms:created xsi:type="dcterms:W3CDTF">2018-06-18T16:27:06Z</dcterms:created>
  <dcterms:modified xsi:type="dcterms:W3CDTF">2024-10-18T19:16:39Z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0x010100C1CEA1664A78194ABA0EEB479265B64B</vt:lpwstr>
  </property>
  <property fmtid="{D5CDD505-2E9C-101B-9397-08002B2CF9AE}" pid="3" name="Order">
    <vt:r8>2373200</vt:r8>
  </property>
  <property fmtid="{D5CDD505-2E9C-101B-9397-08002B2CF9AE}" pid="4" name="MediaServiceImageTags">
    <vt:lpwstr/>
  </property>
</Properties>
</file>